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工作\2022\2-金融办\7-贴息\35条政策\贴息\2022年7-12月\公示\"/>
    </mc:Choice>
  </mc:AlternateContent>
  <bookViews>
    <workbookView xWindow="-110" yWindow="-110" windowWidth="20730" windowHeight="11760" tabRatio="874" firstSheet="8" activeTab="8"/>
  </bookViews>
  <sheets>
    <sheet name="信用" sheetId="1" state="hidden" r:id="rId1"/>
    <sheet name="项目" sheetId="2" state="hidden" r:id="rId2"/>
    <sheet name="报告表格信用" sheetId="4" state="hidden" r:id="rId3"/>
    <sheet name="报告表格信用 (2)" sheetId="5" state="hidden" r:id="rId4"/>
    <sheet name="报告表格项目 " sheetId="6" state="hidden" r:id="rId5"/>
    <sheet name="报告表格项目 （2）" sheetId="7" state="hidden" r:id="rId6"/>
    <sheet name="最终版报告表格信用" sheetId="8" state="hidden" r:id="rId7"/>
    <sheet name="最终版报告表格项目" sheetId="9" state="hidden" r:id="rId8"/>
    <sheet name="最终版报告表格" sheetId="11" r:id="rId9"/>
  </sheets>
  <definedNames>
    <definedName name="_xlnm._FilterDatabase" localSheetId="5" hidden="1">'报告表格项目 （2）'!$A$1:$M$46</definedName>
    <definedName name="_xlnm._FilterDatabase" localSheetId="2" hidden="1">报告表格信用!$A$1:$K$74</definedName>
    <definedName name="_xlnm._FilterDatabase" localSheetId="3" hidden="1">'报告表格信用 (2)'!$A$2:$G$66</definedName>
    <definedName name="_xlnm._FilterDatabase" localSheetId="0" hidden="1">信用!$A$1:$V$74</definedName>
    <definedName name="_xlnm._FilterDatabase" localSheetId="8" hidden="1">最终版报告表格!$A$2:$I$2</definedName>
    <definedName name="_xlnm._FilterDatabase" localSheetId="7" hidden="1">最终版报告表格项目!$A$2:$U$48</definedName>
    <definedName name="_xlnm._FilterDatabase" localSheetId="6" hidden="1">最终版报告表格信用!$A$2:$U$68</definedName>
    <definedName name="_xlnm.Print_Area" localSheetId="2">报告表格信用!$A$1:$K$74</definedName>
    <definedName name="_xlnm.Print_Area" localSheetId="3">'报告表格信用 (2)'!$A$2:$G$66</definedName>
    <definedName name="_xlnm.Print_Area" localSheetId="0">信用!$A$1:$N$74</definedName>
    <definedName name="_xlnm.Print_Area" localSheetId="8">最终版报告表格!$A$1:$E$38</definedName>
    <definedName name="_xlnm.Print_Titles" localSheetId="8">最终版报告表格!$1:$2</definedName>
    <definedName name="_xlnm.Print_Titles" localSheetId="7">最终版报告表格项目!$1:$2</definedName>
    <definedName name="_xlnm.Print_Titles" localSheetId="6">最终版报告表格信用!$1:$2</definedName>
    <definedName name="Z_2E04F247_EBC5_4303_8C03_BEB288DA092E_.wvu.Cols" localSheetId="8" hidden="1">最终版报告表格!#REF!,最终版报告表格!#REF!,最终版报告表格!#REF!</definedName>
    <definedName name="Z_2E04F247_EBC5_4303_8C03_BEB288DA092E_.wvu.Cols" localSheetId="7" hidden="1">最终版报告表格项目!$H:$H,最终版报告表格项目!$K:$N,最终版报告表格项目!$P:$S</definedName>
    <definedName name="Z_2E04F247_EBC5_4303_8C03_BEB288DA092E_.wvu.Cols" localSheetId="6" hidden="1">最终版报告表格信用!$H:$H,最终版报告表格信用!$K:$N,最终版报告表格信用!$P:$S</definedName>
    <definedName name="Z_2E04F247_EBC5_4303_8C03_BEB288DA092E_.wvu.FilterData" localSheetId="8" hidden="1">最终版报告表格!$A$2:$E$38</definedName>
    <definedName name="Z_2E04F247_EBC5_4303_8C03_BEB288DA092E_.wvu.FilterData" localSheetId="7" hidden="1">最终版报告表格项目!$A$2:$V$48</definedName>
    <definedName name="Z_2E04F247_EBC5_4303_8C03_BEB288DA092E_.wvu.FilterData" localSheetId="6" hidden="1">最终版报告表格信用!$A$2:$V$68</definedName>
    <definedName name="Z_2E04F247_EBC5_4303_8C03_BEB288DA092E_.wvu.PrintTitles" localSheetId="8" hidden="1">最终版报告表格!$1:$2</definedName>
    <definedName name="Z_2E04F247_EBC5_4303_8C03_BEB288DA092E_.wvu.PrintTitles" localSheetId="7" hidden="1">最终版报告表格项目!$1:$2</definedName>
    <definedName name="Z_2E04F247_EBC5_4303_8C03_BEB288DA092E_.wvu.PrintTitles" localSheetId="6" hidden="1">最终版报告表格信用!$1:$2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1" l="1"/>
  <c r="F67" i="8" l="1"/>
  <c r="G67" i="5"/>
  <c r="K75" i="4"/>
  <c r="L75" i="1"/>
  <c r="F36" i="8"/>
  <c r="I36" i="8" s="1"/>
  <c r="H36" i="8" s="1"/>
  <c r="G36" i="5"/>
  <c r="F14" i="8"/>
  <c r="I14" i="8" s="1"/>
  <c r="H14" i="8" s="1"/>
  <c r="G14" i="5"/>
  <c r="H13" i="4"/>
  <c r="K13" i="4" s="1"/>
  <c r="L13" i="1"/>
  <c r="L12" i="1"/>
  <c r="I67" i="8" l="1"/>
  <c r="H67" i="8" l="1"/>
  <c r="H24" i="9" l="1"/>
  <c r="H28" i="9"/>
  <c r="H46" i="9"/>
  <c r="F4" i="9"/>
  <c r="I4" i="9" s="1"/>
  <c r="F5" i="9"/>
  <c r="I5" i="9" s="1"/>
  <c r="F6" i="9"/>
  <c r="I6" i="9" s="1"/>
  <c r="H6" i="9" s="1"/>
  <c r="F7" i="9"/>
  <c r="I7" i="9" s="1"/>
  <c r="F8" i="9"/>
  <c r="I8" i="9" s="1"/>
  <c r="F10" i="9"/>
  <c r="F11" i="9"/>
  <c r="I11" i="9" s="1"/>
  <c r="H11" i="9" s="1"/>
  <c r="F12" i="9"/>
  <c r="F13" i="9"/>
  <c r="I13" i="9" s="1"/>
  <c r="F14" i="9"/>
  <c r="I14" i="9" s="1"/>
  <c r="H14" i="9" s="1"/>
  <c r="F16" i="9"/>
  <c r="F17" i="9"/>
  <c r="I17" i="9" s="1"/>
  <c r="F18" i="9"/>
  <c r="F19" i="9"/>
  <c r="F20" i="9"/>
  <c r="I20" i="9" s="1"/>
  <c r="F21" i="9"/>
  <c r="F22" i="9"/>
  <c r="I22" i="9" s="1"/>
  <c r="H22" i="9" s="1"/>
  <c r="F23" i="9"/>
  <c r="I23" i="9" s="1"/>
  <c r="F24" i="9"/>
  <c r="I24" i="9" s="1"/>
  <c r="F25" i="9"/>
  <c r="I25" i="9" s="1"/>
  <c r="F26" i="9"/>
  <c r="I26" i="9" s="1"/>
  <c r="H26" i="9" s="1"/>
  <c r="F27" i="9"/>
  <c r="I27" i="9" s="1"/>
  <c r="H27" i="9" s="1"/>
  <c r="F28" i="9"/>
  <c r="I28" i="9" s="1"/>
  <c r="F29" i="9"/>
  <c r="I29" i="9" s="1"/>
  <c r="F30" i="9"/>
  <c r="I30" i="9" s="1"/>
  <c r="H30" i="9" s="1"/>
  <c r="F31" i="9"/>
  <c r="I31" i="9" s="1"/>
  <c r="F32" i="9"/>
  <c r="I32" i="9" s="1"/>
  <c r="F33" i="9"/>
  <c r="I33" i="9" s="1"/>
  <c r="F34" i="9"/>
  <c r="I34" i="9" s="1"/>
  <c r="H34" i="9" s="1"/>
  <c r="F35" i="9"/>
  <c r="I35" i="9" s="1"/>
  <c r="H35" i="9" s="1"/>
  <c r="F36" i="9"/>
  <c r="F37" i="9"/>
  <c r="I37" i="9" s="1"/>
  <c r="F38" i="9"/>
  <c r="I38" i="9" s="1"/>
  <c r="H38" i="9" s="1"/>
  <c r="F40" i="9"/>
  <c r="F41" i="9"/>
  <c r="I41" i="9" s="1"/>
  <c r="F42" i="9"/>
  <c r="I42" i="9" s="1"/>
  <c r="H42" i="9" s="1"/>
  <c r="F43" i="9"/>
  <c r="I43" i="9" s="1"/>
  <c r="H43" i="9" s="1"/>
  <c r="F44" i="9"/>
  <c r="I44" i="9" s="1"/>
  <c r="H44" i="9" s="1"/>
  <c r="F45" i="9"/>
  <c r="F46" i="9"/>
  <c r="I46" i="9" s="1"/>
  <c r="F47" i="9"/>
  <c r="I47" i="9" s="1"/>
  <c r="H4" i="9"/>
  <c r="H7" i="9"/>
  <c r="H8" i="9"/>
  <c r="H23" i="9"/>
  <c r="H29" i="9"/>
  <c r="H31" i="9"/>
  <c r="H32" i="9"/>
  <c r="H47" i="9"/>
  <c r="G48" i="9"/>
  <c r="H20" i="9"/>
  <c r="F3" i="9"/>
  <c r="H33" i="9"/>
  <c r="H25" i="9"/>
  <c r="I19" i="9" l="1"/>
  <c r="I45" i="9"/>
  <c r="I21" i="9"/>
  <c r="I10" i="9"/>
  <c r="I36" i="9"/>
  <c r="I12" i="9"/>
  <c r="I18" i="9"/>
  <c r="I3" i="9"/>
  <c r="I40" i="9"/>
  <c r="I16" i="9"/>
  <c r="H45" i="9"/>
  <c r="H41" i="9"/>
  <c r="H37" i="9"/>
  <c r="H17" i="9"/>
  <c r="H13" i="9"/>
  <c r="H5" i="9"/>
  <c r="H3" i="9"/>
  <c r="F4" i="8"/>
  <c r="F5" i="8"/>
  <c r="F6" i="8"/>
  <c r="F7" i="8"/>
  <c r="I7" i="8" s="1"/>
  <c r="F8" i="8"/>
  <c r="I8" i="8" s="1"/>
  <c r="H8" i="8" s="1"/>
  <c r="F9" i="8"/>
  <c r="F10" i="8"/>
  <c r="F11" i="8"/>
  <c r="I11" i="8" s="1"/>
  <c r="H11" i="8" s="1"/>
  <c r="F12" i="8"/>
  <c r="F13" i="8"/>
  <c r="F15" i="8"/>
  <c r="I15" i="8" s="1"/>
  <c r="H15" i="8" s="1"/>
  <c r="F16" i="8"/>
  <c r="F17" i="8"/>
  <c r="I17" i="8" s="1"/>
  <c r="H17" i="8" s="1"/>
  <c r="F18" i="8"/>
  <c r="I18" i="8" s="1"/>
  <c r="H18" i="8" s="1"/>
  <c r="F19" i="8"/>
  <c r="I19" i="8" s="1"/>
  <c r="H19" i="8" s="1"/>
  <c r="F20" i="8"/>
  <c r="I20" i="8" s="1"/>
  <c r="H20" i="8" s="1"/>
  <c r="F21" i="8"/>
  <c r="I21" i="8" s="1"/>
  <c r="H21" i="8" s="1"/>
  <c r="F22" i="8"/>
  <c r="I22" i="8" s="1"/>
  <c r="H22" i="8" s="1"/>
  <c r="F23" i="8"/>
  <c r="I23" i="8" s="1"/>
  <c r="H23" i="8" s="1"/>
  <c r="F24" i="8"/>
  <c r="I24" i="8" s="1"/>
  <c r="F25" i="8"/>
  <c r="I25" i="8" s="1"/>
  <c r="H25" i="8" s="1"/>
  <c r="F26" i="8"/>
  <c r="I26" i="8" s="1"/>
  <c r="H26" i="8" s="1"/>
  <c r="F27" i="8"/>
  <c r="F28" i="8"/>
  <c r="I28" i="8" s="1"/>
  <c r="H28" i="8" s="1"/>
  <c r="F29" i="8"/>
  <c r="I29" i="8" s="1"/>
  <c r="H29" i="8" s="1"/>
  <c r="F30" i="8"/>
  <c r="F31" i="8"/>
  <c r="I31" i="8" s="1"/>
  <c r="H31" i="8" s="1"/>
  <c r="F32" i="8"/>
  <c r="F33" i="8"/>
  <c r="F34" i="8"/>
  <c r="I34" i="8" s="1"/>
  <c r="H34" i="8" s="1"/>
  <c r="F35" i="8"/>
  <c r="F37" i="8"/>
  <c r="F38" i="8"/>
  <c r="I38" i="8" s="1"/>
  <c r="H38" i="8" s="1"/>
  <c r="F39" i="8"/>
  <c r="I39" i="8" s="1"/>
  <c r="H39" i="8" s="1"/>
  <c r="F40" i="8"/>
  <c r="F41" i="8"/>
  <c r="F42" i="8"/>
  <c r="F43" i="8"/>
  <c r="F44" i="8"/>
  <c r="I44" i="8" s="1"/>
  <c r="H44" i="8" s="1"/>
  <c r="F45" i="8"/>
  <c r="F46" i="8"/>
  <c r="F47" i="8"/>
  <c r="F48" i="8"/>
  <c r="F49" i="8"/>
  <c r="F50" i="8"/>
  <c r="I50" i="8" s="1"/>
  <c r="H50" i="8" s="1"/>
  <c r="F51" i="8"/>
  <c r="F52" i="8"/>
  <c r="F53" i="8"/>
  <c r="I53" i="8" s="1"/>
  <c r="H53" i="8" s="1"/>
  <c r="F54" i="8"/>
  <c r="F55" i="8"/>
  <c r="F56" i="8"/>
  <c r="I56" i="8" s="1"/>
  <c r="H56" i="8" s="1"/>
  <c r="F57" i="8"/>
  <c r="I57" i="8" s="1"/>
  <c r="H57" i="8" s="1"/>
  <c r="F58" i="8"/>
  <c r="F59" i="8"/>
  <c r="F60" i="8"/>
  <c r="F61" i="8"/>
  <c r="I61" i="8" s="1"/>
  <c r="H61" i="8" s="1"/>
  <c r="F62" i="8"/>
  <c r="F63" i="8"/>
  <c r="F64" i="8"/>
  <c r="F65" i="8"/>
  <c r="I65" i="8" s="1"/>
  <c r="F66" i="8"/>
  <c r="I66" i="8" s="1"/>
  <c r="H66" i="8" s="1"/>
  <c r="F3" i="8"/>
  <c r="H21" i="9" l="1"/>
  <c r="H10" i="9"/>
  <c r="F68" i="8"/>
  <c r="H16" i="9"/>
  <c r="H12" i="9"/>
  <c r="H18" i="9"/>
  <c r="H40" i="9"/>
  <c r="H36" i="9"/>
  <c r="H19" i="9"/>
  <c r="H65" i="8"/>
  <c r="H24" i="8"/>
  <c r="H7" i="8"/>
  <c r="I64" i="8"/>
  <c r="I52" i="8"/>
  <c r="I48" i="8"/>
  <c r="I40" i="8"/>
  <c r="I35" i="8"/>
  <c r="I27" i="8"/>
  <c r="I10" i="8"/>
  <c r="I6" i="8"/>
  <c r="I49" i="8"/>
  <c r="I41" i="8"/>
  <c r="I32" i="8"/>
  <c r="I16" i="8"/>
  <c r="I60" i="8"/>
  <c r="I3" i="8"/>
  <c r="I63" i="8"/>
  <c r="I59" i="8"/>
  <c r="I55" i="8"/>
  <c r="I51" i="8"/>
  <c r="I47" i="8"/>
  <c r="I43" i="8"/>
  <c r="I30" i="8"/>
  <c r="I13" i="8"/>
  <c r="I9" i="8"/>
  <c r="I5" i="8"/>
  <c r="I62" i="8"/>
  <c r="I54" i="8"/>
  <c r="I46" i="8"/>
  <c r="I12" i="8"/>
  <c r="I4" i="8"/>
  <c r="I45" i="8"/>
  <c r="I37" i="8"/>
  <c r="I58" i="8"/>
  <c r="I42" i="8"/>
  <c r="I33" i="8"/>
  <c r="G68" i="8"/>
  <c r="I68" i="8" l="1"/>
  <c r="H13" i="8"/>
  <c r="H12" i="8"/>
  <c r="H42" i="8"/>
  <c r="H45" i="8"/>
  <c r="H16" i="8"/>
  <c r="H3" i="8"/>
  <c r="H58" i="8"/>
  <c r="H4" i="8"/>
  <c r="H62" i="8"/>
  <c r="H9" i="8"/>
  <c r="H30" i="8"/>
  <c r="H47" i="8"/>
  <c r="H55" i="8"/>
  <c r="H63" i="8"/>
  <c r="H60" i="8"/>
  <c r="H32" i="8"/>
  <c r="H6" i="8"/>
  <c r="H27" i="8"/>
  <c r="H40" i="8"/>
  <c r="H52" i="8"/>
  <c r="H41" i="8"/>
  <c r="H33" i="8"/>
  <c r="H37" i="8"/>
  <c r="H46" i="8"/>
  <c r="H5" i="8"/>
  <c r="H43" i="8"/>
  <c r="H51" i="8"/>
  <c r="H59" i="8"/>
  <c r="H49" i="8"/>
  <c r="H10" i="8"/>
  <c r="H35" i="8"/>
  <c r="H48" i="8"/>
  <c r="H64" i="8"/>
  <c r="H54" i="8"/>
  <c r="J3" i="7"/>
  <c r="N3" i="7" s="1"/>
  <c r="J4" i="7"/>
  <c r="N4" i="7" s="1"/>
  <c r="J5" i="7"/>
  <c r="N5" i="7" s="1"/>
  <c r="J6" i="7"/>
  <c r="N6" i="7" s="1"/>
  <c r="J7" i="7"/>
  <c r="N7" i="7" s="1"/>
  <c r="J9" i="7"/>
  <c r="N9" i="7" s="1"/>
  <c r="J10" i="7"/>
  <c r="N10" i="7" s="1"/>
  <c r="J11" i="7"/>
  <c r="N11" i="7" s="1"/>
  <c r="J12" i="7"/>
  <c r="N12" i="7" s="1"/>
  <c r="J13" i="7"/>
  <c r="N13" i="7" s="1"/>
  <c r="J15" i="7"/>
  <c r="N15" i="7" s="1"/>
  <c r="J16" i="7"/>
  <c r="N16" i="7" s="1"/>
  <c r="J17" i="7"/>
  <c r="N17" i="7" s="1"/>
  <c r="J18" i="7"/>
  <c r="N18" i="7" s="1"/>
  <c r="J19" i="7"/>
  <c r="N19" i="7" s="1"/>
  <c r="J20" i="7"/>
  <c r="N20" i="7" s="1"/>
  <c r="J21" i="7"/>
  <c r="N21" i="7" s="1"/>
  <c r="J22" i="7"/>
  <c r="N22" i="7" s="1"/>
  <c r="J23" i="7"/>
  <c r="N23" i="7" s="1"/>
  <c r="J24" i="7"/>
  <c r="N24" i="7" s="1"/>
  <c r="J25" i="7"/>
  <c r="N25" i="7" s="1"/>
  <c r="J26" i="7"/>
  <c r="N26" i="7" s="1"/>
  <c r="J27" i="7"/>
  <c r="N27" i="7" s="1"/>
  <c r="J28" i="7"/>
  <c r="N28" i="7" s="1"/>
  <c r="J29" i="7"/>
  <c r="N29" i="7" s="1"/>
  <c r="J30" i="7"/>
  <c r="N30" i="7" s="1"/>
  <c r="J31" i="7"/>
  <c r="N31" i="7" s="1"/>
  <c r="J32" i="7"/>
  <c r="N32" i="7" s="1"/>
  <c r="J33" i="7"/>
  <c r="N33" i="7" s="1"/>
  <c r="J34" i="7"/>
  <c r="N34" i="7" s="1"/>
  <c r="J35" i="7"/>
  <c r="N35" i="7" s="1"/>
  <c r="J36" i="7"/>
  <c r="N36" i="7" s="1"/>
  <c r="J37" i="7"/>
  <c r="N37" i="7" s="1"/>
  <c r="J39" i="7"/>
  <c r="N39" i="7" s="1"/>
  <c r="J40" i="7"/>
  <c r="N40" i="7" s="1"/>
  <c r="J41" i="7"/>
  <c r="N41" i="7" s="1"/>
  <c r="J42" i="7"/>
  <c r="N42" i="7" s="1"/>
  <c r="J43" i="7"/>
  <c r="N43" i="7" s="1"/>
  <c r="J44" i="7"/>
  <c r="N44" i="7" s="1"/>
  <c r="J45" i="7"/>
  <c r="N45" i="7" s="1"/>
  <c r="J46" i="7"/>
  <c r="N46" i="7" s="1"/>
  <c r="J2" i="7"/>
  <c r="G38" i="7"/>
  <c r="G14" i="7"/>
  <c r="G8" i="7"/>
  <c r="F9" i="9" s="1"/>
  <c r="G23" i="5"/>
  <c r="G22" i="5"/>
  <c r="G21" i="5"/>
  <c r="K50" i="6"/>
  <c r="N50" i="6" s="1"/>
  <c r="N49" i="6"/>
  <c r="K19" i="6"/>
  <c r="N21" i="6"/>
  <c r="N3" i="6"/>
  <c r="N4" i="6"/>
  <c r="N5" i="6"/>
  <c r="N6" i="6"/>
  <c r="N7" i="6"/>
  <c r="N9" i="6"/>
  <c r="N10" i="6"/>
  <c r="N11" i="6"/>
  <c r="N12" i="6"/>
  <c r="N13" i="6"/>
  <c r="N14" i="6"/>
  <c r="N15" i="6"/>
  <c r="N16" i="6"/>
  <c r="N17" i="6"/>
  <c r="N18" i="6"/>
  <c r="N19" i="6"/>
  <c r="N20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2" i="6"/>
  <c r="K8" i="6"/>
  <c r="N8" i="6" s="1"/>
  <c r="H68" i="8" l="1"/>
  <c r="I9" i="9"/>
  <c r="J8" i="7"/>
  <c r="N8" i="7" s="1"/>
  <c r="J14" i="7"/>
  <c r="N14" i="7" s="1"/>
  <c r="F15" i="9"/>
  <c r="J38" i="7"/>
  <c r="N38" i="7" s="1"/>
  <c r="F39" i="9"/>
  <c r="N2" i="7"/>
  <c r="G4" i="5"/>
  <c r="G5" i="5"/>
  <c r="G6" i="5"/>
  <c r="G7" i="5"/>
  <c r="G8" i="5"/>
  <c r="G9" i="5"/>
  <c r="G10" i="5"/>
  <c r="G11" i="5"/>
  <c r="G12" i="5"/>
  <c r="G13" i="5"/>
  <c r="G15" i="5"/>
  <c r="G16" i="5"/>
  <c r="G17" i="5"/>
  <c r="G18" i="5"/>
  <c r="G19" i="5"/>
  <c r="G20" i="5"/>
  <c r="G24" i="5"/>
  <c r="G25" i="5"/>
  <c r="G26" i="5"/>
  <c r="G27" i="5"/>
  <c r="G28" i="5"/>
  <c r="G29" i="5"/>
  <c r="G30" i="5"/>
  <c r="G31" i="5"/>
  <c r="G32" i="5"/>
  <c r="G33" i="5"/>
  <c r="G34" i="5"/>
  <c r="G35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3" i="5"/>
  <c r="I15" i="9" l="1"/>
  <c r="I48" i="9" s="1"/>
  <c r="F48" i="9"/>
  <c r="J47" i="7"/>
  <c r="H9" i="9"/>
  <c r="I39" i="9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0" i="4"/>
  <c r="K9" i="4"/>
  <c r="K3" i="4"/>
  <c r="K39" i="4"/>
  <c r="H34" i="4"/>
  <c r="H30" i="4"/>
  <c r="K30" i="4" s="1"/>
  <c r="H29" i="4"/>
  <c r="H3" i="4"/>
  <c r="H4" i="4"/>
  <c r="K4" i="4" s="1"/>
  <c r="H5" i="4"/>
  <c r="K5" i="4" s="1"/>
  <c r="H6" i="4"/>
  <c r="K6" i="4" s="1"/>
  <c r="H7" i="4"/>
  <c r="K7" i="4" s="1"/>
  <c r="H8" i="4"/>
  <c r="K8" i="4" s="1"/>
  <c r="H9" i="4"/>
  <c r="H10" i="4"/>
  <c r="H11" i="4"/>
  <c r="H12" i="4"/>
  <c r="K12" i="4" s="1"/>
  <c r="H14" i="4"/>
  <c r="K14" i="4" s="1"/>
  <c r="H2" i="4"/>
  <c r="K2" i="4" s="1"/>
  <c r="H39" i="9" l="1"/>
  <c r="H15" i="9"/>
  <c r="H48" i="9" s="1"/>
  <c r="V15" i="2"/>
  <c r="W15" i="2" s="1"/>
  <c r="X14" i="2"/>
  <c r="W14" i="2"/>
  <c r="V14" i="2"/>
  <c r="V13" i="2"/>
  <c r="W13" i="2" s="1"/>
  <c r="V12" i="2"/>
  <c r="W12" i="2" s="1"/>
  <c r="V11" i="2"/>
  <c r="W11" i="2" s="1"/>
  <c r="V10" i="2"/>
  <c r="W10" i="2" s="1"/>
  <c r="V9" i="2"/>
  <c r="W9" i="2" s="1"/>
  <c r="V8" i="2"/>
  <c r="W8" i="2" s="1"/>
  <c r="X7" i="2"/>
  <c r="W7" i="2"/>
  <c r="V7" i="2"/>
  <c r="V6" i="2"/>
  <c r="X6" i="2" s="1"/>
  <c r="V5" i="2"/>
  <c r="X5" i="2" s="1"/>
  <c r="X4" i="2"/>
  <c r="V4" i="2"/>
  <c r="W4" i="2" s="1"/>
  <c r="V3" i="2"/>
  <c r="W3" i="2" s="1"/>
  <c r="V2" i="2"/>
  <c r="W2" i="2" s="1"/>
  <c r="V58" i="1"/>
  <c r="W58" i="1" s="1"/>
  <c r="V57" i="1"/>
  <c r="X57" i="1" s="1"/>
  <c r="V56" i="1"/>
  <c r="X56" i="1" s="1"/>
  <c r="V55" i="1"/>
  <c r="X55" i="1" s="1"/>
  <c r="V54" i="1"/>
  <c r="W54" i="1" s="1"/>
  <c r="V53" i="1"/>
  <c r="X53" i="1" s="1"/>
  <c r="V52" i="1"/>
  <c r="W52" i="1" s="1"/>
  <c r="V51" i="1"/>
  <c r="X51" i="1" s="1"/>
  <c r="V50" i="1"/>
  <c r="W50" i="1" s="1"/>
  <c r="V49" i="1"/>
  <c r="W49" i="1" s="1"/>
  <c r="V48" i="1"/>
  <c r="W48" i="1" s="1"/>
  <c r="V47" i="1"/>
  <c r="X47" i="1" s="1"/>
  <c r="V46" i="1"/>
  <c r="W46" i="1" s="1"/>
  <c r="V45" i="1"/>
  <c r="X45" i="1" s="1"/>
  <c r="V44" i="1"/>
  <c r="X44" i="1" s="1"/>
  <c r="V43" i="1"/>
  <c r="X43" i="1" s="1"/>
  <c r="V42" i="1"/>
  <c r="W42" i="1" s="1"/>
  <c r="V41" i="1"/>
  <c r="X41" i="1" s="1"/>
  <c r="V40" i="1"/>
  <c r="W40" i="1" s="1"/>
  <c r="V39" i="1"/>
  <c r="X39" i="1" s="1"/>
  <c r="V38" i="1"/>
  <c r="W38" i="1" s="1"/>
  <c r="V37" i="1"/>
  <c r="X37" i="1" s="1"/>
  <c r="V36" i="1"/>
  <c r="X36" i="1" s="1"/>
  <c r="V35" i="1"/>
  <c r="X35" i="1" s="1"/>
  <c r="V34" i="1"/>
  <c r="W34" i="1" s="1"/>
  <c r="V33" i="1"/>
  <c r="W33" i="1" s="1"/>
  <c r="V32" i="1"/>
  <c r="W32" i="1" s="1"/>
  <c r="V31" i="1"/>
  <c r="X31" i="1" s="1"/>
  <c r="V30" i="1"/>
  <c r="W30" i="1" s="1"/>
  <c r="V29" i="1"/>
  <c r="X29" i="1" s="1"/>
  <c r="V28" i="1"/>
  <c r="X28" i="1" s="1"/>
  <c r="V27" i="1"/>
  <c r="X27" i="1" s="1"/>
  <c r="V26" i="1"/>
  <c r="W26" i="1" s="1"/>
  <c r="V25" i="1"/>
  <c r="X25" i="1" s="1"/>
  <c r="V24" i="1"/>
  <c r="X24" i="1" s="1"/>
  <c r="V23" i="1"/>
  <c r="X23" i="1" s="1"/>
  <c r="V22" i="1"/>
  <c r="W22" i="1" s="1"/>
  <c r="V21" i="1"/>
  <c r="X21" i="1" s="1"/>
  <c r="V20" i="1"/>
  <c r="W20" i="1" s="1"/>
  <c r="V19" i="1"/>
  <c r="X19" i="1" s="1"/>
  <c r="V18" i="1"/>
  <c r="W18" i="1" s="1"/>
  <c r="V17" i="1"/>
  <c r="W17" i="1" s="1"/>
  <c r="V16" i="1"/>
  <c r="X16" i="1" s="1"/>
  <c r="V15" i="1"/>
  <c r="X15" i="1" s="1"/>
  <c r="V14" i="1"/>
  <c r="W14" i="1" s="1"/>
  <c r="V12" i="1"/>
  <c r="X12" i="1" s="1"/>
  <c r="V11" i="1"/>
  <c r="X11" i="1" s="1"/>
  <c r="V10" i="1"/>
  <c r="X10" i="1" s="1"/>
  <c r="V9" i="1"/>
  <c r="W9" i="1" s="1"/>
  <c r="V8" i="1"/>
  <c r="X8" i="1" s="1"/>
  <c r="V7" i="1"/>
  <c r="W7" i="1" s="1"/>
  <c r="V6" i="1"/>
  <c r="X6" i="1" s="1"/>
  <c r="V5" i="1"/>
  <c r="W5" i="1" s="1"/>
  <c r="V4" i="1"/>
  <c r="X4" i="1" s="1"/>
  <c r="V3" i="1"/>
  <c r="X3" i="1" s="1"/>
  <c r="V2" i="1"/>
  <c r="X2" i="1" s="1"/>
  <c r="X15" i="2" l="1"/>
  <c r="X3" i="2"/>
  <c r="X8" i="2"/>
  <c r="X17" i="1"/>
  <c r="W41" i="1"/>
  <c r="X58" i="1"/>
  <c r="X26" i="1"/>
  <c r="W29" i="1"/>
  <c r="X46" i="1"/>
  <c r="X49" i="1"/>
  <c r="W6" i="2"/>
  <c r="X2" i="2"/>
  <c r="W5" i="2"/>
  <c r="W4" i="1"/>
  <c r="X42" i="1"/>
  <c r="W45" i="1"/>
  <c r="X18" i="1"/>
  <c r="W21" i="1"/>
  <c r="X33" i="1"/>
  <c r="X54" i="1"/>
  <c r="W57" i="1"/>
  <c r="X9" i="1"/>
  <c r="W12" i="1"/>
  <c r="X5" i="1"/>
  <c r="W8" i="1"/>
  <c r="X22" i="1"/>
  <c r="W25" i="1"/>
  <c r="X38" i="1"/>
  <c r="X34" i="1"/>
  <c r="W37" i="1"/>
  <c r="X50" i="1"/>
  <c r="W53" i="1"/>
  <c r="X14" i="1"/>
  <c r="X30" i="1"/>
  <c r="W3" i="1"/>
  <c r="W11" i="1"/>
  <c r="W16" i="1"/>
  <c r="W24" i="1"/>
  <c r="W28" i="1"/>
  <c r="W36" i="1"/>
  <c r="W44" i="1"/>
  <c r="W56" i="1"/>
  <c r="W2" i="1"/>
  <c r="W6" i="1"/>
  <c r="X7" i="1"/>
  <c r="W10" i="1"/>
  <c r="W15" i="1"/>
  <c r="W19" i="1"/>
  <c r="X20" i="1"/>
  <c r="W23" i="1"/>
  <c r="W27" i="1"/>
  <c r="W31" i="1"/>
  <c r="X32" i="1"/>
  <c r="W35" i="1"/>
  <c r="W39" i="1"/>
  <c r="X40" i="1"/>
  <c r="W43" i="1"/>
  <c r="W47" i="1"/>
  <c r="X48" i="1"/>
  <c r="W51" i="1"/>
  <c r="X52" i="1"/>
  <c r="W55" i="1"/>
  <c r="L71" i="1" l="1"/>
  <c r="L59" i="1"/>
  <c r="L69" i="1"/>
  <c r="L68" i="1"/>
  <c r="L67" i="1"/>
  <c r="L66" i="1"/>
  <c r="L65" i="1"/>
  <c r="L64" i="1"/>
  <c r="L63" i="1"/>
  <c r="L62" i="1"/>
  <c r="L61" i="1"/>
  <c r="L60" i="1"/>
  <c r="L65" i="2"/>
  <c r="L64" i="2"/>
  <c r="L6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32" i="2"/>
  <c r="L31" i="2" l="1"/>
  <c r="L30" i="2"/>
  <c r="X65" i="2"/>
  <c r="W65" i="2"/>
  <c r="S17" i="2"/>
  <c r="S18" i="2"/>
  <c r="S19" i="2"/>
  <c r="S20" i="2"/>
  <c r="S21" i="2"/>
  <c r="S22" i="2"/>
  <c r="S23" i="2"/>
  <c r="S24" i="2"/>
  <c r="S25" i="2"/>
  <c r="S16" i="2"/>
</calcChain>
</file>

<file path=xl/sharedStrings.xml><?xml version="1.0" encoding="utf-8"?>
<sst xmlns="http://schemas.openxmlformats.org/spreadsheetml/2006/main" count="2192" uniqueCount="484">
  <si>
    <t>企业名称</t>
  </si>
  <si>
    <t>行业</t>
  </si>
  <si>
    <t>贷款银行</t>
  </si>
  <si>
    <t>借款合同编号</t>
  </si>
  <si>
    <t>提款日期</t>
  </si>
  <si>
    <t>贷款金额</t>
  </si>
  <si>
    <t>合同约定还款日期</t>
  </si>
  <si>
    <t>是否发生逾期</t>
  </si>
  <si>
    <t>联系人</t>
    <phoneticPr fontId="3" type="noConversion"/>
  </si>
  <si>
    <t>联系方式</t>
    <phoneticPr fontId="3" type="noConversion"/>
  </si>
  <si>
    <t>贴息补助拨付账户</t>
    <phoneticPr fontId="3" type="noConversion"/>
  </si>
  <si>
    <t>开户行</t>
    <phoneticPr fontId="3" type="noConversion"/>
  </si>
  <si>
    <t>计算天数</t>
  </si>
  <si>
    <t>编号</t>
    <phoneticPr fontId="3" type="noConversion"/>
  </si>
  <si>
    <r>
      <t>2022</t>
    </r>
    <r>
      <rPr>
        <sz val="11"/>
        <rFont val="等线"/>
        <family val="3"/>
        <charset val="134"/>
      </rPr>
      <t>年还款金额</t>
    </r>
    <phoneticPr fontId="3" type="noConversion"/>
  </si>
  <si>
    <r>
      <t>2022</t>
    </r>
    <r>
      <rPr>
        <sz val="10"/>
        <rFont val="等线"/>
        <family val="3"/>
        <charset val="134"/>
      </rPr>
      <t>年实际还款日期</t>
    </r>
    <phoneticPr fontId="3" type="noConversion"/>
  </si>
  <si>
    <t>计算实际还款日期</t>
    <phoneticPr fontId="3" type="noConversion"/>
  </si>
  <si>
    <t>补贴金额</t>
    <phoneticPr fontId="3" type="noConversion"/>
  </si>
  <si>
    <t>8861120220009105</t>
  </si>
  <si>
    <t>浙江南浔农村商业银行股份有限公司织里支行</t>
  </si>
  <si>
    <t>周凤</t>
  </si>
  <si>
    <t>19103001040010617</t>
  </si>
  <si>
    <t>中国农业银行股份有限公司织里支行</t>
  </si>
  <si>
    <t>彭红媛</t>
  </si>
  <si>
    <t>572900079910506</t>
  </si>
  <si>
    <t>招商银行湖州分行</t>
  </si>
  <si>
    <t>浙江德能物流装备科技有限公司</t>
  </si>
  <si>
    <t>中国工商银行股份有限公司湖州经济开发区支行</t>
  </si>
  <si>
    <t>0120500004-2022年（开发）字00512号</t>
  </si>
  <si>
    <t>0120500004-2022年（开发）字01120号</t>
  </si>
  <si>
    <t>中国银行股份有限公司湖州吴兴支行</t>
  </si>
  <si>
    <t>吴兴2022人借103</t>
  </si>
  <si>
    <t>少还款凭证</t>
    <phoneticPr fontId="3" type="noConversion"/>
  </si>
  <si>
    <t>湖州吴兴农村商业银行高新区绿色支行</t>
  </si>
  <si>
    <t>8851120220011251</t>
  </si>
  <si>
    <t>严琳燕</t>
  </si>
  <si>
    <t>811261987000645</t>
  </si>
  <si>
    <t>湖州银行高新区绿色支行</t>
  </si>
  <si>
    <t>浙江鸿昌铝业有限公司</t>
  </si>
  <si>
    <t>8861120220008866</t>
  </si>
  <si>
    <t>湖州吴兴农村商业银行股份有限公司</t>
  </si>
  <si>
    <t>8851120220006994</t>
  </si>
  <si>
    <t>华萍</t>
  </si>
  <si>
    <t>52010154740006312</t>
  </si>
  <si>
    <t>上海浦东发展银行湖州分行</t>
  </si>
  <si>
    <t>湖州积微电子科技有限公司</t>
  </si>
  <si>
    <t>8851120220011484</t>
  </si>
  <si>
    <t>陈利英</t>
  </si>
  <si>
    <t>811269270000133</t>
  </si>
  <si>
    <t>湖州银行南太湖新区支行</t>
  </si>
  <si>
    <t>浙江佳雪微特电机有限公司</t>
  </si>
  <si>
    <t>中国银行股份有限公司湖州市分行</t>
  </si>
  <si>
    <t>湖营2022人借170</t>
  </si>
  <si>
    <t>陈小平</t>
  </si>
  <si>
    <t>19105101040778888</t>
  </si>
  <si>
    <t>农行湖州经济开发区支行</t>
  </si>
  <si>
    <t>3.65%</t>
    <phoneticPr fontId="3" type="noConversion"/>
  </si>
  <si>
    <t>浙江宝鸿新材料股份有限公司</t>
  </si>
  <si>
    <t>湖开2022人借070</t>
  </si>
  <si>
    <t>王伟</t>
  </si>
  <si>
    <t>05722569029</t>
  </si>
  <si>
    <t>1205210009001644752</t>
  </si>
  <si>
    <t>工商银行湖州分行营业部</t>
  </si>
  <si>
    <t>3.68%</t>
    <phoneticPr fontId="3" type="noConversion"/>
  </si>
  <si>
    <t>浙江创特新材科技有限公司</t>
  </si>
  <si>
    <t>吴兴2022人借102</t>
  </si>
  <si>
    <t>中国民生银行股份有限公司湖州分行</t>
  </si>
  <si>
    <t>33010120220025845</t>
  </si>
  <si>
    <t>中信银行湖州分行营业部</t>
  </si>
  <si>
    <t>811088395323</t>
  </si>
  <si>
    <t>811088426227</t>
  </si>
  <si>
    <t>沈佳云</t>
  </si>
  <si>
    <t>19110101040068994</t>
  </si>
  <si>
    <t>中国农业银行股份有限公司湖州织里支行</t>
  </si>
  <si>
    <t>3.8%</t>
    <phoneticPr fontId="3" type="noConversion"/>
  </si>
  <si>
    <t>中国农业银行股份有限公司织里支行</t>
    <phoneticPr fontId="3" type="noConversion"/>
  </si>
  <si>
    <r>
      <rPr>
        <sz val="11"/>
        <rFont val="宋体"/>
        <family val="3"/>
        <charset val="134"/>
      </rPr>
      <t>公授信字第</t>
    </r>
    <r>
      <rPr>
        <sz val="11"/>
        <rFont val="Arial Narrow"/>
        <family val="2"/>
      </rPr>
      <t>ZH2200000153802</t>
    </r>
    <r>
      <rPr>
        <sz val="11"/>
        <rFont val="宋体"/>
        <family val="3"/>
        <charset val="134"/>
      </rPr>
      <t>号</t>
    </r>
    <phoneticPr fontId="3" type="noConversion"/>
  </si>
  <si>
    <t>浙江力聚热能装备股份有限公司</t>
    <phoneticPr fontId="3" type="noConversion"/>
  </si>
  <si>
    <t>中国农业银行股份有限公司埭溪支行</t>
    <phoneticPr fontId="3" type="noConversion"/>
  </si>
  <si>
    <t>33010420220000784</t>
    <phoneticPr fontId="3" type="noConversion"/>
  </si>
  <si>
    <t>否</t>
    <phoneticPr fontId="3" type="noConversion"/>
  </si>
  <si>
    <t>葛建良</t>
    <phoneticPr fontId="3" type="noConversion"/>
  </si>
  <si>
    <t>18805712399</t>
    <phoneticPr fontId="3" type="noConversion"/>
  </si>
  <si>
    <t>19120301040007152</t>
    <phoneticPr fontId="3" type="noConversion"/>
  </si>
  <si>
    <t>中国农业银行股份有限公司埭溪支行</t>
  </si>
  <si>
    <t>上半年已申报</t>
    <phoneticPr fontId="3" type="noConversion"/>
  </si>
  <si>
    <t>33010420220002270</t>
    <phoneticPr fontId="3" type="noConversion"/>
  </si>
  <si>
    <t>中国银行股份有限公司湖州织里支行</t>
    <phoneticPr fontId="3" type="noConversion"/>
  </si>
  <si>
    <t>33010420220000347</t>
    <phoneticPr fontId="3" type="noConversion"/>
  </si>
  <si>
    <t>17815653290</t>
  </si>
  <si>
    <t>年利率为4.655上半年已申报</t>
    <phoneticPr fontId="3" type="noConversion"/>
  </si>
  <si>
    <t>33010520220000102</t>
    <phoneticPr fontId="3" type="noConversion"/>
  </si>
  <si>
    <t>湖州南太湖时尚创意城投资发展有限公司</t>
  </si>
  <si>
    <t>湖州吴兴农村商业银行股份有限公司绿色支行</t>
  </si>
  <si>
    <t>8851120210008917</t>
    <phoneticPr fontId="3" type="noConversion"/>
  </si>
  <si>
    <t>程国华</t>
  </si>
  <si>
    <t>15857224501</t>
  </si>
  <si>
    <t>201000252488322</t>
  </si>
  <si>
    <t>年利率为4.85上半年已申报</t>
    <phoneticPr fontId="3" type="noConversion"/>
  </si>
  <si>
    <t>8851120210008917</t>
  </si>
  <si>
    <t>湖州吴兴农村商业银行股份有限公司绿色支行</t>
    <phoneticPr fontId="3" type="noConversion"/>
  </si>
  <si>
    <t>浙江多面体新材料有限公司</t>
    <phoneticPr fontId="3" type="noConversion"/>
  </si>
  <si>
    <t>湖州吴兴农村商业银行股份有限公司埭溪支行</t>
    <phoneticPr fontId="3" type="noConversion"/>
  </si>
  <si>
    <t>8851120220011023</t>
    <phoneticPr fontId="3" type="noConversion"/>
  </si>
  <si>
    <t>吴艳丹</t>
    <phoneticPr fontId="3" type="noConversion"/>
  </si>
  <si>
    <t>18157286030</t>
    <phoneticPr fontId="3" type="noConversion"/>
  </si>
  <si>
    <t>201000300779951</t>
    <phoneticPr fontId="3" type="noConversion"/>
  </si>
  <si>
    <t>湖州吴兴农村商业银行股份有限公司埭溪支行</t>
  </si>
  <si>
    <t>年利率为4.8</t>
    <phoneticPr fontId="3" type="noConversion"/>
  </si>
  <si>
    <t>湖州盛义铜管工业有限公司</t>
  </si>
  <si>
    <t>湖州银行股份有限公司吴兴支行</t>
    <phoneticPr fontId="3" type="noConversion"/>
  </si>
  <si>
    <t>20220217JBXM000001</t>
  </si>
  <si>
    <t>陈晓丽</t>
  </si>
  <si>
    <t>13819280615</t>
  </si>
  <si>
    <t>800002215000149</t>
    <phoneticPr fontId="3" type="noConversion"/>
  </si>
  <si>
    <t>湖州银行股份有限公司吴兴支行</t>
  </si>
  <si>
    <t>年利率为5.3</t>
    <phoneticPr fontId="3" type="noConversion"/>
  </si>
  <si>
    <t>年利率为5.3</t>
  </si>
  <si>
    <t>浙江黎盛新材料科技有限公司</t>
  </si>
  <si>
    <t>中国农业银行股份有限公司织里支行</t>
    <phoneticPr fontId="3" type="noConversion"/>
  </si>
  <si>
    <t>33010420220001437</t>
  </si>
  <si>
    <t>金丽倩</t>
  </si>
  <si>
    <t>18516607232</t>
  </si>
  <si>
    <t>19110101040076476</t>
    <phoneticPr fontId="3" type="noConversion"/>
  </si>
  <si>
    <t>33010420220002780</t>
    <phoneticPr fontId="3" type="noConversion"/>
  </si>
  <si>
    <t>浙江东尼电子股份有限公司</t>
  </si>
  <si>
    <t>33010420220002028</t>
  </si>
  <si>
    <t>杨利群</t>
  </si>
  <si>
    <t>13819203918</t>
  </si>
  <si>
    <t>335061701018010037603</t>
    <phoneticPr fontId="3" type="noConversion"/>
  </si>
  <si>
    <t>交通银行湖州分行</t>
    <phoneticPr fontId="3" type="noConversion"/>
  </si>
  <si>
    <t>33010420220002326</t>
  </si>
  <si>
    <t>浙江华钇新材科技有限公司</t>
  </si>
  <si>
    <t>交通银行湖州市分行</t>
  </si>
  <si>
    <t>Z2201LN15636654</t>
    <phoneticPr fontId="3" type="noConversion"/>
  </si>
  <si>
    <t>杨晓慧</t>
  </si>
  <si>
    <t>18806823231</t>
  </si>
  <si>
    <t>335061701013000073382</t>
    <phoneticPr fontId="3" type="noConversion"/>
  </si>
  <si>
    <t>Z2201LN15639659</t>
    <phoneticPr fontId="3" type="noConversion"/>
  </si>
  <si>
    <t>Z2201LN15650545</t>
    <phoneticPr fontId="3" type="noConversion"/>
  </si>
  <si>
    <t>Z2203LN15679592</t>
    <phoneticPr fontId="3" type="noConversion"/>
  </si>
  <si>
    <t>Z2203LN15697658</t>
    <phoneticPr fontId="3" type="noConversion"/>
  </si>
  <si>
    <t>Z2204LN15612213</t>
  </si>
  <si>
    <t>Z2204LN15611601</t>
    <phoneticPr fontId="3" type="noConversion"/>
  </si>
  <si>
    <t>浙江华钇新材科技有限公司</t>
    <phoneticPr fontId="3" type="noConversion"/>
  </si>
  <si>
    <t>Z2212LN15663373</t>
  </si>
  <si>
    <t>利率3.3</t>
    <phoneticPr fontId="3" type="noConversion"/>
  </si>
  <si>
    <t>浙江德能物流装备科技有限公司</t>
    <phoneticPr fontId="3" type="noConversion"/>
  </si>
  <si>
    <t>浙江米皇进出口有限公司</t>
    <phoneticPr fontId="3" type="noConversion"/>
  </si>
  <si>
    <t>湖州泰和汽车零部件有限公司</t>
    <phoneticPr fontId="3" type="noConversion"/>
  </si>
  <si>
    <t>顾婷婷</t>
  </si>
  <si>
    <t>3.7%</t>
  </si>
  <si>
    <t>陈强</t>
  </si>
  <si>
    <t>3.8%</t>
  </si>
  <si>
    <t>姚珍珍</t>
  </si>
  <si>
    <t>4.5%</t>
  </si>
  <si>
    <t>胡国红</t>
  </si>
  <si>
    <t>3.2%</t>
  </si>
  <si>
    <t>姚瑶</t>
  </si>
  <si>
    <t>3.65%</t>
  </si>
  <si>
    <t>潘娟霞</t>
  </si>
  <si>
    <t>15268286216</t>
  </si>
  <si>
    <t>4%</t>
  </si>
  <si>
    <t>钱立阳</t>
  </si>
  <si>
    <t>3.85%</t>
  </si>
  <si>
    <t>浙江宜可欧环保科技有限公司</t>
  </si>
  <si>
    <t>中国农业银行股份有限公司湖州绿色支行</t>
  </si>
  <si>
    <t>33010120220007952</t>
  </si>
  <si>
    <t>否</t>
  </si>
  <si>
    <t>彭怡</t>
  </si>
  <si>
    <t>13757202095</t>
  </si>
  <si>
    <t>1205230209049109337</t>
  </si>
  <si>
    <t>湖州市工行吴兴支行</t>
  </si>
  <si>
    <t>上半年已申报</t>
  </si>
  <si>
    <t>33010120220026037</t>
  </si>
  <si>
    <t>浙江正远智能装备科技有限公司</t>
  </si>
  <si>
    <t>中国工商银行股份有限公司湖州吴兴支行</t>
  </si>
  <si>
    <r>
      <rPr>
        <sz val="11"/>
        <rFont val="Arial Narrow"/>
        <family val="2"/>
      </rPr>
      <t>0120200005-2022</t>
    </r>
    <r>
      <rPr>
        <sz val="11"/>
        <rFont val="宋体"/>
        <family val="3"/>
        <charset val="134"/>
      </rPr>
      <t>年（吴兴）字</t>
    </r>
    <r>
      <rPr>
        <sz val="11"/>
        <rFont val="Arial Narrow"/>
        <family val="2"/>
      </rPr>
      <t>00440</t>
    </r>
    <r>
      <rPr>
        <sz val="11"/>
        <rFont val="宋体"/>
        <family val="3"/>
        <charset val="134"/>
      </rPr>
      <t>号</t>
    </r>
  </si>
  <si>
    <t>陶华杰</t>
  </si>
  <si>
    <t>13857295439</t>
  </si>
  <si>
    <t>201000226041168</t>
  </si>
  <si>
    <r>
      <rPr>
        <sz val="11"/>
        <rFont val="宋体"/>
        <family val="3"/>
        <charset val="134"/>
      </rPr>
      <t>湖开</t>
    </r>
    <r>
      <rPr>
        <sz val="11"/>
        <rFont val="Arial Narrow"/>
        <family val="2"/>
      </rPr>
      <t>2022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079</t>
    </r>
  </si>
  <si>
    <t>湖州吴兴农村商业银行股份有限公司高新区绿色支行</t>
  </si>
  <si>
    <t>8851120220006432</t>
  </si>
  <si>
    <t>8851120220006433</t>
  </si>
  <si>
    <t>8851120220006434</t>
  </si>
  <si>
    <t>中国农业银行股份有限公司湖州吴兴支行</t>
  </si>
  <si>
    <t>33010320220006537</t>
  </si>
  <si>
    <t>湖州锐格物流科技有限公司</t>
  </si>
  <si>
    <t>中国邮政储蓄银行股份有限公司湖州市分行</t>
  </si>
  <si>
    <t>0133000122220811154129</t>
  </si>
  <si>
    <t>闫博</t>
  </si>
  <si>
    <t>17336295430</t>
  </si>
  <si>
    <t>572900040110288</t>
  </si>
  <si>
    <t>招商银行股份有限公湖州支行</t>
  </si>
  <si>
    <t>浙江德瑞新材科技股份有限公司</t>
  </si>
  <si>
    <t>8851120220010093</t>
  </si>
  <si>
    <t>刘王眉佳</t>
  </si>
  <si>
    <t>15857792066</t>
  </si>
  <si>
    <t>811289371000195</t>
  </si>
  <si>
    <t>湖州银行股份有限公司南太湖新区支行</t>
  </si>
  <si>
    <t>20220825DZ000002</t>
  </si>
  <si>
    <t>浙江旭派克智能科技有限公司</t>
  </si>
  <si>
    <t>0120500005-2022年（吴兴）字00319号</t>
  </si>
  <si>
    <t>李守燕</t>
  </si>
  <si>
    <t>17757276886</t>
  </si>
  <si>
    <t>1205260519201052852</t>
  </si>
  <si>
    <t>中国工商银行股份有限公司湖州八里店支行</t>
  </si>
  <si>
    <t>0120500005-2022年（吴兴）字00881号</t>
  </si>
  <si>
    <t>汇大机械制造（湖州）有限公司</t>
  </si>
  <si>
    <t>8851120220012340</t>
  </si>
  <si>
    <t>卞琴芳</t>
  </si>
  <si>
    <t>1205230209049048271</t>
  </si>
  <si>
    <t>工行湖州市吴兴支行</t>
  </si>
  <si>
    <t>浙江世仓智能仓储设备有限公司</t>
  </si>
  <si>
    <r>
      <t>吴兴</t>
    </r>
    <r>
      <rPr>
        <sz val="11"/>
        <color theme="1"/>
        <rFont val="Arial Narrow"/>
        <family val="2"/>
      </rPr>
      <t>2022</t>
    </r>
    <r>
      <rPr>
        <sz val="11"/>
        <color theme="1"/>
        <rFont val="宋体"/>
        <family val="3"/>
        <charset val="134"/>
        <scheme val="minor"/>
      </rPr>
      <t>人借</t>
    </r>
    <r>
      <rPr>
        <sz val="11"/>
        <color theme="1"/>
        <rFont val="Arial Narrow"/>
        <family val="2"/>
      </rPr>
      <t>120</t>
    </r>
  </si>
  <si>
    <t>沈璐瑶</t>
  </si>
  <si>
    <t>33050164933500000204</t>
  </si>
  <si>
    <t>中国建设银行股份有限公司湖州吴兴支行</t>
  </si>
  <si>
    <t>吴兴2022人借125</t>
  </si>
  <si>
    <t>吴兴2022人借112</t>
  </si>
  <si>
    <t>吴兴2022人借126</t>
  </si>
  <si>
    <t>浙江力聚热能装备股份有限公司</t>
  </si>
  <si>
    <t>33010120220017207</t>
  </si>
  <si>
    <t>0120500005-2022年（吴兴）字00590号</t>
  </si>
  <si>
    <t>湖州金裕丝绸科技有限公司</t>
  </si>
  <si>
    <t>沈鹏翀</t>
  </si>
  <si>
    <t>13567983236</t>
  </si>
  <si>
    <t>811258581000105</t>
  </si>
  <si>
    <t>湖州银行股份有限公司城北支行</t>
  </si>
  <si>
    <t>湖州市大数据运营有限公司</t>
  </si>
  <si>
    <t>兴业银行湖州分行</t>
  </si>
  <si>
    <t>季娇娇</t>
  </si>
  <si>
    <t>15558126631</t>
  </si>
  <si>
    <t>3305040160000189930</t>
  </si>
  <si>
    <t>杭州银行股份有限公司湖州支行</t>
  </si>
  <si>
    <t>浙江华宝油墨有限公司</t>
    <phoneticPr fontId="3" type="noConversion"/>
  </si>
  <si>
    <t>中国银行股份有限公司湖州市分行</t>
    <phoneticPr fontId="3" type="noConversion"/>
  </si>
  <si>
    <r>
      <rPr>
        <sz val="11"/>
        <rFont val="宋体"/>
        <family val="3"/>
        <charset val="134"/>
      </rPr>
      <t>湖营</t>
    </r>
    <r>
      <rPr>
        <sz val="11"/>
        <rFont val="Arial Narrow"/>
        <family val="2"/>
      </rPr>
      <t>2021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022</t>
    </r>
    <phoneticPr fontId="3" type="noConversion"/>
  </si>
  <si>
    <t>19120301040007749</t>
    <phoneticPr fontId="3" type="noConversion"/>
  </si>
  <si>
    <t>中国农业银行埭溪支行</t>
    <phoneticPr fontId="3" type="noConversion"/>
  </si>
  <si>
    <t>湖州绿色新材股份有限公司</t>
    <phoneticPr fontId="3" type="noConversion"/>
  </si>
  <si>
    <t>中国农业银行股份有限公司吴兴支行</t>
    <phoneticPr fontId="3" type="noConversion"/>
  </si>
  <si>
    <t>33010120220026798</t>
    <phoneticPr fontId="3" type="noConversion"/>
  </si>
  <si>
    <t>201000016795196</t>
    <phoneticPr fontId="3" type="noConversion"/>
  </si>
  <si>
    <t>湖州吴兴农村商业银行股份有限公司埭溪支行</t>
    <phoneticPr fontId="3" type="noConversion"/>
  </si>
  <si>
    <t>浙江本源质品信息科技股份有限公司</t>
    <phoneticPr fontId="3" type="noConversion"/>
  </si>
  <si>
    <t>湖州吴兴农村商业银行股份有限公司高新区绿色支行</t>
    <phoneticPr fontId="3" type="noConversion"/>
  </si>
  <si>
    <t>885112022001060624</t>
    <phoneticPr fontId="3" type="noConversion"/>
  </si>
  <si>
    <t>33050164913809791122</t>
    <phoneticPr fontId="3" type="noConversion"/>
  </si>
  <si>
    <t>中国建设银行股份有限公司湖州粮贸支行</t>
    <phoneticPr fontId="3" type="noConversion"/>
  </si>
  <si>
    <t>银行确认表贷款金额1000。</t>
    <phoneticPr fontId="3" type="noConversion"/>
  </si>
  <si>
    <t>浙江永昌电气股份有限公司</t>
    <phoneticPr fontId="3" type="noConversion"/>
  </si>
  <si>
    <t>中国建行股份有限公司湖州织里支行</t>
    <phoneticPr fontId="3" type="noConversion"/>
  </si>
  <si>
    <t>330649635jLDQM2022001</t>
    <phoneticPr fontId="3" type="noConversion"/>
  </si>
  <si>
    <t>33050164963509288888</t>
    <phoneticPr fontId="3" type="noConversion"/>
  </si>
  <si>
    <t>中国建设银行湖州织里支行</t>
    <phoneticPr fontId="3" type="noConversion"/>
  </si>
  <si>
    <t>湖州新南海织造厂</t>
    <phoneticPr fontId="3" type="noConversion"/>
  </si>
  <si>
    <t>中国银行股份有限公司湖州吴兴支行</t>
    <phoneticPr fontId="3" type="noConversion"/>
  </si>
  <si>
    <r>
      <rPr>
        <sz val="11"/>
        <rFont val="宋体"/>
        <family val="3"/>
        <charset val="134"/>
      </rPr>
      <t>吴兴</t>
    </r>
    <r>
      <rPr>
        <sz val="11"/>
        <rFont val="Arial Narrow"/>
        <family val="2"/>
      </rPr>
      <t>2022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087</t>
    </r>
    <phoneticPr fontId="3" type="noConversion"/>
  </si>
  <si>
    <t>龚胜</t>
    <phoneticPr fontId="3" type="noConversion"/>
  </si>
  <si>
    <t>18267220879</t>
    <phoneticPr fontId="3" type="noConversion"/>
  </si>
  <si>
    <t>19103001040003091</t>
    <phoneticPr fontId="3" type="noConversion"/>
  </si>
  <si>
    <t>中国农业银行股份有限公司湖州市分行</t>
    <phoneticPr fontId="3" type="noConversion"/>
  </si>
  <si>
    <t>湖州吴兴农村商业银行股份有限公司南街支行</t>
    <phoneticPr fontId="3" type="noConversion"/>
  </si>
  <si>
    <t>8851120220008363</t>
    <phoneticPr fontId="3" type="noConversion"/>
  </si>
  <si>
    <t>浙江九州云信息科技有限公司</t>
    <phoneticPr fontId="3" type="noConversion"/>
  </si>
  <si>
    <r>
      <rPr>
        <sz val="11"/>
        <rFont val="宋体"/>
        <family val="3"/>
        <charset val="134"/>
      </rPr>
      <t>吴兴</t>
    </r>
    <r>
      <rPr>
        <sz val="11"/>
        <rFont val="Arial Narrow"/>
        <family val="2"/>
      </rPr>
      <t>2022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111</t>
    </r>
    <phoneticPr fontId="3" type="noConversion"/>
  </si>
  <si>
    <t>33001649335053004833</t>
    <phoneticPr fontId="3" type="noConversion"/>
  </si>
  <si>
    <t>中国建设银行股份有限公司湖州吴兴支行</t>
    <phoneticPr fontId="3" type="noConversion"/>
  </si>
  <si>
    <t>浙江日创机电科技有限公司</t>
    <phoneticPr fontId="3" type="noConversion"/>
  </si>
  <si>
    <t>宁波银行吴兴支行</t>
    <phoneticPr fontId="3" type="noConversion"/>
  </si>
  <si>
    <t>09100LK22BL2I7I</t>
    <phoneticPr fontId="3" type="noConversion"/>
  </si>
  <si>
    <t>19100801040003683</t>
    <phoneticPr fontId="3" type="noConversion"/>
  </si>
  <si>
    <t>中国农业银行湖州东部新城支行</t>
    <phoneticPr fontId="3" type="noConversion"/>
  </si>
  <si>
    <t>中国银行湖州吴兴支行</t>
    <phoneticPr fontId="3" type="noConversion"/>
  </si>
  <si>
    <r>
      <rPr>
        <sz val="11"/>
        <rFont val="宋体"/>
        <family val="3"/>
        <charset val="134"/>
      </rPr>
      <t>吴兴</t>
    </r>
    <r>
      <rPr>
        <sz val="11"/>
        <rFont val="Arial Narrow"/>
        <family val="2"/>
      </rPr>
      <t>2022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098</t>
    </r>
    <phoneticPr fontId="3" type="noConversion"/>
  </si>
  <si>
    <t>德尔法电梯有限公司</t>
    <phoneticPr fontId="3" type="noConversion"/>
  </si>
  <si>
    <t>宁波银行湖州分行</t>
    <phoneticPr fontId="3" type="noConversion"/>
  </si>
  <si>
    <t>09100LK22BIN4A6</t>
    <phoneticPr fontId="3" type="noConversion"/>
  </si>
  <si>
    <t>20100079008671</t>
    <phoneticPr fontId="3" type="noConversion"/>
  </si>
  <si>
    <t>湖州吴兴农村商业银行股份有限公司南太湖新区支行</t>
    <phoneticPr fontId="3" type="noConversion"/>
  </si>
  <si>
    <t>中国农业银行股份有限公司湖州埭溪支行</t>
    <phoneticPr fontId="16" type="noConversion"/>
  </si>
  <si>
    <t>葛建良</t>
    <phoneticPr fontId="3" type="noConversion"/>
  </si>
  <si>
    <t>19120301040007152</t>
    <phoneticPr fontId="3" type="noConversion"/>
  </si>
  <si>
    <t>农行埭溪支行</t>
    <phoneticPr fontId="3" type="noConversion"/>
  </si>
  <si>
    <t>带公章付息盖章</t>
    <phoneticPr fontId="3" type="noConversion"/>
  </si>
  <si>
    <t>湖州金裕丝绸科技有限公司</t>
    <phoneticPr fontId="3" type="noConversion"/>
  </si>
  <si>
    <t>湖州银行股份有限公司城北支行</t>
    <phoneticPr fontId="3" type="noConversion"/>
  </si>
  <si>
    <t>20220714CC000001</t>
    <phoneticPr fontId="3" type="noConversion"/>
  </si>
  <si>
    <t>否</t>
    <phoneticPr fontId="3" type="noConversion"/>
  </si>
  <si>
    <t>沈鹏翀</t>
    <phoneticPr fontId="3" type="noConversion"/>
  </si>
  <si>
    <t>13567983236</t>
    <phoneticPr fontId="3" type="noConversion"/>
  </si>
  <si>
    <t>811258581000105</t>
    <phoneticPr fontId="3" type="noConversion"/>
  </si>
  <si>
    <t>浙江南浔农村商业银行股份有限公司湖城支行</t>
    <phoneticPr fontId="3" type="noConversion"/>
  </si>
  <si>
    <t>8861120220002554</t>
    <phoneticPr fontId="3" type="noConversion"/>
  </si>
  <si>
    <t>已申报</t>
    <phoneticPr fontId="3" type="noConversion"/>
  </si>
  <si>
    <t>8851120220002729</t>
    <phoneticPr fontId="3" type="noConversion"/>
  </si>
  <si>
    <t>湖州汇能新材料科技有限公司</t>
    <phoneticPr fontId="3" type="noConversion"/>
  </si>
  <si>
    <t>湖州吴兴农村商业银行股份有限公司妙西支行</t>
    <phoneticPr fontId="3" type="noConversion"/>
  </si>
  <si>
    <t>8851120220007415</t>
    <phoneticPr fontId="3" type="noConversion"/>
  </si>
  <si>
    <t>曹荣林</t>
    <phoneticPr fontId="3" type="noConversion"/>
  </si>
  <si>
    <t>13857295003</t>
    <phoneticPr fontId="3" type="noConversion"/>
  </si>
  <si>
    <t>201000092187320</t>
    <phoneticPr fontId="3" type="noConversion"/>
  </si>
  <si>
    <t>浙江爱诺生物药业股份有限公司</t>
    <phoneticPr fontId="3" type="noConversion"/>
  </si>
  <si>
    <t>浙江南浔农村商业银行股份有限公司城东支行</t>
    <phoneticPr fontId="3" type="noConversion"/>
  </si>
  <si>
    <t>8861120220009496</t>
    <phoneticPr fontId="3" type="noConversion"/>
  </si>
  <si>
    <t>陆方明</t>
    <phoneticPr fontId="3" type="noConversion"/>
  </si>
  <si>
    <t>13867299556</t>
    <phoneticPr fontId="3" type="noConversion"/>
  </si>
  <si>
    <t>201000201729517</t>
    <phoneticPr fontId="3" type="noConversion"/>
  </si>
  <si>
    <t>湖州天和机械股份有限公司</t>
    <phoneticPr fontId="3" type="noConversion"/>
  </si>
  <si>
    <t>湖州吴兴农村商业银行股份有限公司康山支行</t>
    <phoneticPr fontId="3" type="noConversion"/>
  </si>
  <si>
    <t>8851120220007345</t>
    <phoneticPr fontId="3" type="noConversion"/>
  </si>
  <si>
    <t>钮银娣</t>
    <phoneticPr fontId="3" type="noConversion"/>
  </si>
  <si>
    <t>18857285787</t>
    <phoneticPr fontId="3" type="noConversion"/>
  </si>
  <si>
    <t>201000139834916</t>
    <phoneticPr fontId="3" type="noConversion"/>
  </si>
  <si>
    <t>湖州市大数据运营有限公司</t>
    <phoneticPr fontId="3" type="noConversion"/>
  </si>
  <si>
    <t>兴业银行湖州分行</t>
    <phoneticPr fontId="3" type="noConversion"/>
  </si>
  <si>
    <r>
      <rPr>
        <sz val="11"/>
        <rFont val="宋体"/>
        <family val="3"/>
        <charset val="134"/>
      </rPr>
      <t>兴银湖营二科流贷</t>
    </r>
    <r>
      <rPr>
        <sz val="11"/>
        <rFont val="Arial Narrow"/>
        <family val="2"/>
      </rPr>
      <t>2022014</t>
    </r>
    <r>
      <rPr>
        <sz val="11"/>
        <rFont val="宋体"/>
        <family val="3"/>
        <charset val="134"/>
      </rPr>
      <t>号</t>
    </r>
    <phoneticPr fontId="3" type="noConversion"/>
  </si>
  <si>
    <t>季娇娇</t>
    <phoneticPr fontId="3" type="noConversion"/>
  </si>
  <si>
    <t>15558126631</t>
    <phoneticPr fontId="3" type="noConversion"/>
  </si>
  <si>
    <t>3305040160000189930</t>
    <phoneticPr fontId="3" type="noConversion"/>
  </si>
  <si>
    <t>杭州银行股份有限公司湖州支行</t>
    <phoneticPr fontId="3" type="noConversion"/>
  </si>
  <si>
    <r>
      <rPr>
        <sz val="11"/>
        <rFont val="宋体"/>
        <family val="3"/>
        <charset val="134"/>
      </rPr>
      <t>兴银湖营二科流贷</t>
    </r>
    <r>
      <rPr>
        <sz val="11"/>
        <rFont val="Arial Narrow"/>
        <family val="2"/>
      </rPr>
      <t>2022018</t>
    </r>
    <r>
      <rPr>
        <sz val="11"/>
        <rFont val="宋体"/>
        <family val="3"/>
        <charset val="134"/>
      </rPr>
      <t>号</t>
    </r>
    <phoneticPr fontId="3" type="noConversion"/>
  </si>
  <si>
    <t>浙江奥博石英科技股份有限公司</t>
    <phoneticPr fontId="3" type="noConversion"/>
  </si>
  <si>
    <r>
      <rPr>
        <sz val="11"/>
        <rFont val="宋体"/>
        <family val="3"/>
        <charset val="134"/>
      </rPr>
      <t>湖营</t>
    </r>
    <r>
      <rPr>
        <sz val="11"/>
        <rFont val="Arial Narrow"/>
        <family val="2"/>
      </rPr>
      <t>2022</t>
    </r>
    <r>
      <rPr>
        <sz val="11"/>
        <rFont val="宋体"/>
        <family val="3"/>
        <charset val="134"/>
      </rPr>
      <t>人借</t>
    </r>
    <r>
      <rPr>
        <sz val="11"/>
        <rFont val="Arial Narrow"/>
        <family val="2"/>
      </rPr>
      <t>128</t>
    </r>
    <phoneticPr fontId="3" type="noConversion"/>
  </si>
  <si>
    <t>陈英</t>
    <phoneticPr fontId="3" type="noConversion"/>
  </si>
  <si>
    <t>13905724400</t>
    <phoneticPr fontId="3" type="noConversion"/>
  </si>
  <si>
    <t>201000073170905</t>
    <phoneticPr fontId="3" type="noConversion"/>
  </si>
  <si>
    <t>浙江中轴物流设备有限公司</t>
    <phoneticPr fontId="3" type="noConversion"/>
  </si>
  <si>
    <t>中国银行城中支行</t>
    <phoneticPr fontId="3" type="noConversion"/>
  </si>
  <si>
    <r>
      <rPr>
        <sz val="11"/>
        <color rgb="FFFF0000"/>
        <rFont val="宋体"/>
        <family val="3"/>
        <charset val="134"/>
      </rPr>
      <t>湖州城中</t>
    </r>
    <r>
      <rPr>
        <sz val="11"/>
        <color rgb="FFFF0000"/>
        <rFont val="Arial Narrow"/>
        <family val="2"/>
      </rPr>
      <t>2022</t>
    </r>
    <r>
      <rPr>
        <sz val="11"/>
        <color rgb="FFFF0000"/>
        <rFont val="宋体"/>
        <family val="3"/>
        <charset val="134"/>
      </rPr>
      <t>人借</t>
    </r>
    <r>
      <rPr>
        <sz val="11"/>
        <color rgb="FFFF0000"/>
        <rFont val="Arial Narrow"/>
        <family val="2"/>
      </rPr>
      <t>017</t>
    </r>
    <r>
      <rPr>
        <sz val="11"/>
        <color rgb="FFFF0000"/>
        <rFont val="宋体"/>
        <family val="3"/>
        <charset val="134"/>
      </rPr>
      <t>号</t>
    </r>
    <phoneticPr fontId="3" type="noConversion"/>
  </si>
  <si>
    <t>莫丰丰</t>
    <phoneticPr fontId="3" type="noConversion"/>
  </si>
  <si>
    <t>13857271655</t>
    <phoneticPr fontId="3" type="noConversion"/>
  </si>
  <si>
    <t>800022751010218</t>
    <phoneticPr fontId="3" type="noConversion"/>
  </si>
  <si>
    <t>湖州银行仁北支行</t>
    <phoneticPr fontId="3" type="noConversion"/>
  </si>
  <si>
    <t>3.5%</t>
    <phoneticPr fontId="3" type="noConversion"/>
  </si>
  <si>
    <t>湖州持正链传动有限公司</t>
    <phoneticPr fontId="3" type="noConversion"/>
  </si>
  <si>
    <t>湖州吴兴农村商业银行股份有限公司东林支行</t>
    <phoneticPr fontId="3" type="noConversion"/>
  </si>
  <si>
    <t>8851120220007753</t>
    <phoneticPr fontId="3" type="noConversion"/>
  </si>
  <si>
    <t>唐喜元</t>
    <phoneticPr fontId="3" type="noConversion"/>
  </si>
  <si>
    <t>15088384110</t>
    <phoneticPr fontId="3" type="noConversion"/>
  </si>
  <si>
    <t>201000240174368</t>
    <phoneticPr fontId="3" type="noConversion"/>
  </si>
  <si>
    <t>浙江杰德机械科技有限公司</t>
    <phoneticPr fontId="3" type="noConversion"/>
  </si>
  <si>
    <t>8851120220010768</t>
    <phoneticPr fontId="3" type="noConversion"/>
  </si>
  <si>
    <t>徐利娟</t>
    <phoneticPr fontId="3" type="noConversion"/>
  </si>
  <si>
    <t>13082847400</t>
    <phoneticPr fontId="3" type="noConversion"/>
  </si>
  <si>
    <t>201000280278969</t>
    <phoneticPr fontId="3" type="noConversion"/>
  </si>
  <si>
    <t>浙江斯科能科技股份有限公司</t>
    <phoneticPr fontId="3" type="noConversion"/>
  </si>
  <si>
    <t>浙江南浔农村商业银行股份有限公司织里支行</t>
    <phoneticPr fontId="3" type="noConversion"/>
  </si>
  <si>
    <t>8861120220009143</t>
    <phoneticPr fontId="3" type="noConversion"/>
  </si>
  <si>
    <t>陆琴华</t>
    <phoneticPr fontId="3" type="noConversion"/>
  </si>
  <si>
    <t>13867280311</t>
    <phoneticPr fontId="3" type="noConversion"/>
  </si>
  <si>
    <t>191051010400228512</t>
    <phoneticPr fontId="3" type="noConversion"/>
  </si>
  <si>
    <t>中国农行银行股份有限公司经济开发区支行</t>
    <phoneticPr fontId="3" type="noConversion"/>
  </si>
  <si>
    <t>8851120220008799</t>
    <phoneticPr fontId="3" type="noConversion"/>
  </si>
  <si>
    <t>纳载智能科技（浙江）有限公司</t>
    <phoneticPr fontId="3" type="noConversion"/>
  </si>
  <si>
    <t>湖州吴兴农村商业银行股份有限公司八里店支行</t>
    <phoneticPr fontId="3" type="noConversion"/>
  </si>
  <si>
    <t>8851120220008806</t>
    <phoneticPr fontId="3" type="noConversion"/>
  </si>
  <si>
    <t>代月</t>
    <phoneticPr fontId="3" type="noConversion"/>
  </si>
  <si>
    <t>15601896059</t>
    <phoneticPr fontId="3" type="noConversion"/>
  </si>
  <si>
    <t>201000312096376</t>
    <phoneticPr fontId="3" type="noConversion"/>
  </si>
  <si>
    <t>湖州欧利亚机电科技有限公司</t>
    <phoneticPr fontId="3" type="noConversion"/>
  </si>
  <si>
    <t>8861120220010324</t>
    <phoneticPr fontId="3" type="noConversion"/>
  </si>
  <si>
    <t>沈愉健</t>
    <phoneticPr fontId="3" type="noConversion"/>
  </si>
  <si>
    <t>18657231789</t>
    <phoneticPr fontId="3" type="noConversion"/>
  </si>
  <si>
    <t>550470737000015</t>
    <phoneticPr fontId="3" type="noConversion"/>
  </si>
  <si>
    <t>台州银行湖州南浔小微企业专营支行</t>
    <phoneticPr fontId="3" type="noConversion"/>
  </si>
  <si>
    <t>中国银行湖州城中支行</t>
    <phoneticPr fontId="3" type="noConversion"/>
  </si>
  <si>
    <t>湖州城中2022人借003号</t>
    <phoneticPr fontId="3" type="noConversion"/>
  </si>
  <si>
    <t>少还款利息单</t>
    <phoneticPr fontId="3" type="noConversion"/>
  </si>
  <si>
    <t>浙江酷联智能科技有限公司</t>
    <phoneticPr fontId="3" type="noConversion"/>
  </si>
  <si>
    <t>吴兴农商银行高新区绿色支行</t>
    <phoneticPr fontId="3" type="noConversion"/>
  </si>
  <si>
    <t>8851120220007639</t>
    <phoneticPr fontId="3" type="noConversion"/>
  </si>
  <si>
    <t>袁家乐</t>
    <phoneticPr fontId="3" type="noConversion"/>
  </si>
  <si>
    <t>18055210599</t>
    <phoneticPr fontId="3" type="noConversion"/>
  </si>
  <si>
    <t>52010078801800000293</t>
    <phoneticPr fontId="3" type="noConversion"/>
  </si>
  <si>
    <t>上海浦东发展银行湖州分行</t>
    <phoneticPr fontId="3" type="noConversion"/>
  </si>
  <si>
    <t>湖州市中磊化纤有限公司</t>
    <phoneticPr fontId="3" type="noConversion"/>
  </si>
  <si>
    <t>姬小强</t>
    <phoneticPr fontId="3" type="noConversion"/>
  </si>
  <si>
    <t>13867302972</t>
    <phoneticPr fontId="3" type="noConversion"/>
  </si>
  <si>
    <t>403977524812</t>
    <phoneticPr fontId="3" type="noConversion"/>
  </si>
  <si>
    <t>强化项目融资支持</t>
    <phoneticPr fontId="3" type="noConversion"/>
  </si>
  <si>
    <t>浙江旗创科技集团有限公司</t>
    <phoneticPr fontId="3" type="noConversion"/>
  </si>
  <si>
    <t>湖州银行股份有限公司营业部</t>
    <phoneticPr fontId="3" type="noConversion"/>
  </si>
  <si>
    <t>20221012JBXM000001</t>
    <phoneticPr fontId="3" type="noConversion"/>
  </si>
  <si>
    <t>童依依</t>
    <phoneticPr fontId="3" type="noConversion"/>
  </si>
  <si>
    <t>15857239698</t>
    <phoneticPr fontId="3" type="noConversion"/>
  </si>
  <si>
    <t>811276261001005</t>
    <phoneticPr fontId="3" type="noConversion"/>
  </si>
  <si>
    <r>
      <t>JX</t>
    </r>
    <r>
      <rPr>
        <sz val="11"/>
        <rFont val="宋体"/>
        <family val="2"/>
        <charset val="134"/>
      </rPr>
      <t>桐乡2021银团002</t>
    </r>
    <phoneticPr fontId="3" type="noConversion"/>
  </si>
  <si>
    <t>贴息利率</t>
    <phoneticPr fontId="16" type="noConversion"/>
  </si>
  <si>
    <t>贴息天数</t>
    <phoneticPr fontId="16" type="noConversion"/>
  </si>
  <si>
    <t>计算金额</t>
    <phoneticPr fontId="16" type="noConversion"/>
  </si>
  <si>
    <t>吴兴区“行业+金融”助企纾困扶持政策贴息补助表</t>
  </si>
  <si>
    <r>
      <t>t</t>
    </r>
    <r>
      <rPr>
        <sz val="11"/>
        <rFont val="宋体"/>
        <family val="3"/>
        <charset val="134"/>
      </rPr>
      <t>贴息利率</t>
    </r>
    <phoneticPr fontId="16" type="noConversion"/>
  </si>
  <si>
    <t>计算金额</t>
    <phoneticPr fontId="3" type="noConversion"/>
  </si>
  <si>
    <t>贴息天数</t>
    <phoneticPr fontId="16" type="noConversion"/>
  </si>
  <si>
    <t>吴兴区“行业+金融”助企纾困扶持政策贴息补助表</t>
    <phoneticPr fontId="16" type="noConversion"/>
  </si>
  <si>
    <t>序号</t>
  </si>
  <si>
    <t>企业/项目名称</t>
  </si>
  <si>
    <t>主办银行</t>
  </si>
  <si>
    <t>评价结果</t>
  </si>
  <si>
    <t>2022年日均贷款余额（元）</t>
    <phoneticPr fontId="16" type="noConversion"/>
  </si>
  <si>
    <t>2022年申请贴息金额</t>
    <phoneticPr fontId="16" type="noConversion"/>
  </si>
  <si>
    <t>核减贴息金额</t>
    <phoneticPr fontId="16" type="noConversion"/>
  </si>
  <si>
    <t>核定贴息金额（元）</t>
  </si>
  <si>
    <t>申请政策条款</t>
    <phoneticPr fontId="3" type="noConversion"/>
  </si>
  <si>
    <t>材料是否完整</t>
  </si>
  <si>
    <t>缺少资料</t>
  </si>
  <si>
    <t>日均贷款余额是否达到补贴标准</t>
  </si>
  <si>
    <t>亩均评价</t>
  </si>
  <si>
    <t>备注</t>
  </si>
  <si>
    <t>亩均</t>
    <phoneticPr fontId="16" type="noConversion"/>
  </si>
  <si>
    <t>绿色</t>
    <phoneticPr fontId="16" type="noConversion"/>
  </si>
  <si>
    <t>浙江南浔农村商业银行股份有限公司湖城支行</t>
  </si>
  <si>
    <t>推动信用贷款增量扩面</t>
    <phoneticPr fontId="3" type="noConversion"/>
  </si>
  <si>
    <t>计算天数差异</t>
    <phoneticPr fontId="3" type="noConversion"/>
  </si>
  <si>
    <t>浙江华宝油墨有限公司</t>
  </si>
  <si>
    <t>浙江斯科能科技股份有限公司</t>
  </si>
  <si>
    <t>合    计</t>
  </si>
  <si>
    <t>湖州绿色新材股份有限公司</t>
  </si>
  <si>
    <t>浙江本源质品信息科技股份有限公司</t>
  </si>
  <si>
    <t>浙江永昌电气股份有限公司</t>
  </si>
  <si>
    <t>湖州新南海织造厂</t>
  </si>
  <si>
    <t>浙江九州云信息科技有限公司</t>
  </si>
  <si>
    <t>浙江日创机电科技有限公司</t>
  </si>
  <si>
    <t>德尔法电梯有限公司</t>
  </si>
  <si>
    <t>湖州汇能新材料科技有限公司</t>
  </si>
  <si>
    <t>浙江爱诺生物药业股份有限公司</t>
  </si>
  <si>
    <t>湖州天和机械股份有限公司</t>
  </si>
  <si>
    <t>浙江奥博石英科技股份有限公司</t>
  </si>
  <si>
    <t>浙江中轴物流设备有限公司</t>
  </si>
  <si>
    <t>湖州持正链传动有限公司</t>
  </si>
  <si>
    <t>浙江杰德机械科技有限公司</t>
  </si>
  <si>
    <t>纳载智能科技（浙江）有限公司</t>
  </si>
  <si>
    <t>湖州欧利亚机电科技有限公司</t>
  </si>
  <si>
    <t>浙江酷联智能科技有限公司</t>
  </si>
  <si>
    <t>浙江米皇进出口有限公司</t>
  </si>
  <si>
    <t>湖州泰和汽车零部件有限公司</t>
  </si>
  <si>
    <t>中国农业银行股份有限公司吴兴支行</t>
  </si>
  <si>
    <t>中国建行股份有限公司湖州织里支行</t>
  </si>
  <si>
    <t>湖州吴兴农村商业银行股份有限公司南街支行</t>
  </si>
  <si>
    <t>宁波银行吴兴支行</t>
  </si>
  <si>
    <t>中国银行湖州吴兴支行</t>
  </si>
  <si>
    <t>宁波银行湖州分行</t>
  </si>
  <si>
    <t>中国农业银行股份有限公司湖州埭溪支行</t>
  </si>
  <si>
    <t>湖州吴兴农村商业银行股份有限公司南太湖新区支行</t>
  </si>
  <si>
    <t>湖州吴兴农村商业银行股份有限公司妙西支行</t>
  </si>
  <si>
    <t>浙江南浔农村商业银行股份有限公司城东支行</t>
  </si>
  <si>
    <t>湖州吴兴农村商业银行股份有限公司康山支行</t>
  </si>
  <si>
    <t>中国银行城中支行</t>
  </si>
  <si>
    <t>湖州吴兴农村商业银行股份有限公司东林支行</t>
  </si>
  <si>
    <t>湖州吴兴农村商业银行股份有限公司八里店支行</t>
  </si>
  <si>
    <t>中国银行湖州城中支行</t>
  </si>
  <si>
    <t>吴兴农商银行高新区绿色支行</t>
  </si>
  <si>
    <t>项目名称</t>
    <phoneticPr fontId="3" type="noConversion"/>
  </si>
  <si>
    <t>强化项目融资支持</t>
    <phoneticPr fontId="3" type="noConversion"/>
  </si>
  <si>
    <t>湖州市中磊化纤有限公司</t>
  </si>
  <si>
    <t>浙江旗创科技集团有限公司</t>
  </si>
  <si>
    <t>浙江多面体新材料有限公司</t>
  </si>
  <si>
    <t>湖州银行股份有限公司营业部</t>
  </si>
  <si>
    <t>中国银行股份有限公司湖州织里支行</t>
  </si>
  <si>
    <t>年产180万吨功能性、超仿真差别化纤维项目</t>
    <phoneticPr fontId="16" type="noConversion"/>
  </si>
  <si>
    <t>新型环保铝材研发及智能制造项目</t>
    <phoneticPr fontId="16" type="noConversion"/>
  </si>
  <si>
    <t>基于工业物联网平台的年产500套大功率超低氮燃气炉产业化项目</t>
    <phoneticPr fontId="16" type="noConversion"/>
  </si>
  <si>
    <t>年产7000吨精密仪器仪表及高端装备铜合金板料项目</t>
    <phoneticPr fontId="16" type="noConversion"/>
  </si>
  <si>
    <t>年产1亿立方米绿色环保选择性吸附材料项目</t>
    <phoneticPr fontId="16" type="noConversion"/>
  </si>
  <si>
    <t>年产4000万套耐高温高压新能源汽车线束项目</t>
    <phoneticPr fontId="16" type="noConversion"/>
  </si>
  <si>
    <t>年产12000万件童装及童装产业设计研发基地项目</t>
    <phoneticPr fontId="16" type="noConversion"/>
  </si>
  <si>
    <t>年产400万片高导热氮化硅陶瓷基片建设项目</t>
    <phoneticPr fontId="16" type="noConversion"/>
  </si>
  <si>
    <t>年产1500万千米高端合金线材项目</t>
    <phoneticPr fontId="16" type="noConversion"/>
  </si>
  <si>
    <t>高性能高强度铝合金新材料产业化项目</t>
    <phoneticPr fontId="16" type="noConversion"/>
  </si>
  <si>
    <t>合同编号与后附合同编号不符</t>
    <phoneticPr fontId="3" type="noConversion"/>
  </si>
  <si>
    <t>缺少资料</t>
    <phoneticPr fontId="3" type="noConversion"/>
  </si>
  <si>
    <t>浙江宜可欧环保科技有限公司</t>
    <phoneticPr fontId="16" type="noConversion"/>
  </si>
  <si>
    <t>先登高科电气股份有限公司</t>
  </si>
  <si>
    <t>20221019DZ000009</t>
  </si>
  <si>
    <t>强化项目融资支持</t>
    <phoneticPr fontId="3" type="noConversion"/>
  </si>
  <si>
    <t>项目名称</t>
  </si>
  <si>
    <t>/</t>
    <phoneticPr fontId="3" type="noConversion"/>
  </si>
  <si>
    <t>2022年度吴兴区“行业+金融”助企纾困扶持政策拟补助名单</t>
    <phoneticPr fontId="16" type="noConversion"/>
  </si>
  <si>
    <t>合    计</t>
    <phoneticPr fontId="16" type="noConversion"/>
  </si>
  <si>
    <t>贴息金额（元）</t>
    <phoneticPr fontId="16" type="noConversion"/>
  </si>
  <si>
    <t>纳载智能科技（浙江）有限公司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</si>
</sst>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yyyy/mm/dd;@"/>
    <numFmt numFmtId="177" formatCode="#,##0.00_ ;[Red]\-#,##0.00\ "/>
    <numFmt numFmtId="178" formatCode="#,##0.00_ "/>
    <numFmt numFmtId="179" formatCode="#,##0.00_);[Red]\(#,##0.00\)"/>
    <numFmt numFmtId="180" formatCode="0.00_ "/>
  </numFmts>
  <fonts count="40" x14ac:knownFonts="1">
    <font>
      <sz val="11"/>
      <color theme="1"/>
      <name val="宋体"/>
      <charset val="134"/>
      <scheme val="minor"/>
    </font>
    <font>
      <sz val="11"/>
      <name val="Arial Narrow"/>
      <family val="2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等线"/>
      <family val="3"/>
      <charset val="134"/>
    </font>
    <font>
      <sz val="10"/>
      <name val="Arial Narrow"/>
      <family val="2"/>
    </font>
    <font>
      <sz val="10"/>
      <name val="等线"/>
      <family val="3"/>
      <charset val="134"/>
    </font>
    <font>
      <sz val="11"/>
      <name val="宋体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2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charset val="134"/>
    </font>
    <font>
      <sz val="11"/>
      <color theme="5"/>
      <name val="Arial Narrow"/>
      <family val="2"/>
    </font>
    <font>
      <sz val="11"/>
      <color theme="1"/>
      <name val="Arial Narrow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theme="5"/>
      <name val="宋体"/>
      <family val="3"/>
      <charset val="134"/>
    </font>
    <font>
      <sz val="11"/>
      <color theme="5"/>
      <name val="宋体"/>
      <family val="2"/>
      <charset val="134"/>
    </font>
    <font>
      <sz val="10"/>
      <name val="宋体"/>
      <family val="3"/>
      <charset val="134"/>
    </font>
    <font>
      <sz val="20"/>
      <name val="宋体"/>
      <family val="3"/>
      <charset val="134"/>
      <scheme val="minor"/>
    </font>
    <font>
      <sz val="20"/>
      <name val="华文中宋"/>
      <family val="3"/>
      <charset val="134"/>
    </font>
    <font>
      <sz val="8"/>
      <name val="宋体"/>
      <family val="3"/>
      <charset val="134"/>
      <scheme val="minor"/>
    </font>
    <font>
      <sz val="10"/>
      <name val="黑体"/>
      <family val="3"/>
      <charset val="134"/>
    </font>
    <font>
      <sz val="9"/>
      <name val="黑体"/>
      <family val="3"/>
      <charset val="134"/>
    </font>
    <font>
      <sz val="8"/>
      <name val="黑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  <scheme val="minor"/>
    </font>
    <font>
      <sz val="14"/>
      <name val="仿宋_GB2312"/>
      <family val="3"/>
      <charset val="134"/>
    </font>
    <font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1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shrinkToFit="1"/>
    </xf>
    <xf numFmtId="49" fontId="4" fillId="0" borderId="1" xfId="0" applyNumberFormat="1" applyFont="1" applyFill="1" applyBorder="1" applyAlignment="1" applyProtection="1">
      <alignment horizontal="left" vertical="center" shrinkToFi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3" fontId="1" fillId="0" borderId="0" xfId="5" applyFont="1" applyFill="1" applyAlignment="1">
      <alignment horizontal="left" vertical="center"/>
    </xf>
    <xf numFmtId="43" fontId="7" fillId="0" borderId="0" xfId="5" applyFont="1" applyFill="1" applyAlignment="1">
      <alignment horizontal="left" vertical="center"/>
    </xf>
    <xf numFmtId="43" fontId="11" fillId="0" borderId="0" xfId="5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43" fontId="1" fillId="0" borderId="0" xfId="5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43" fontId="1" fillId="2" borderId="0" xfId="5" applyFont="1" applyFill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3" fontId="18" fillId="0" borderId="0" xfId="5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0" fontId="1" fillId="0" borderId="0" xfId="0" applyNumberFormat="1" applyFont="1" applyFill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43" fontId="13" fillId="0" borderId="0" xfId="5" applyFont="1" applyFill="1" applyAlignment="1">
      <alignment horizontal="left" vertical="center"/>
    </xf>
    <xf numFmtId="43" fontId="19" fillId="0" borderId="0" xfId="5" applyFont="1" applyFill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178" fontId="24" fillId="0" borderId="0" xfId="0" applyNumberFormat="1" applyFont="1" applyAlignment="1">
      <alignment horizontal="left"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/>
    </xf>
    <xf numFmtId="178" fontId="12" fillId="0" borderId="0" xfId="0" applyNumberFormat="1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left" vertical="center" shrinkToFi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quotePrefix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>
      <alignment horizontal="left" vertical="center" shrinkToFit="1"/>
    </xf>
    <xf numFmtId="176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178" fontId="20" fillId="0" borderId="0" xfId="0" applyNumberFormat="1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49" fontId="1" fillId="3" borderId="1" xfId="0" applyNumberFormat="1" applyFont="1" applyFill="1" applyBorder="1" applyAlignment="1">
      <alignment horizontal="left" vertical="center" shrinkToFit="1"/>
    </xf>
    <xf numFmtId="176" fontId="1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43" fontId="1" fillId="3" borderId="0" xfId="5" applyFont="1" applyFill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 shrinkToFit="1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18" fillId="2" borderId="0" xfId="0" applyFont="1" applyFill="1" applyAlignment="1">
      <alignment horizontal="left" vertical="center"/>
    </xf>
    <xf numFmtId="43" fontId="18" fillId="2" borderId="0" xfId="5" applyFont="1" applyFill="1" applyAlignment="1">
      <alignment horizontal="left" vertical="center"/>
    </xf>
    <xf numFmtId="178" fontId="7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43" fontId="29" fillId="0" borderId="0" xfId="6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30" fillId="0" borderId="1" xfId="2" applyFont="1" applyFill="1" applyBorder="1" applyAlignment="1">
      <alignment horizontal="center" vertical="center" wrapText="1"/>
    </xf>
    <xf numFmtId="43" fontId="30" fillId="0" borderId="1" xfId="6" applyFont="1" applyFill="1" applyBorder="1" applyAlignment="1">
      <alignment horizontal="center" vertical="center" wrapText="1"/>
    </xf>
    <xf numFmtId="43" fontId="30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 wrapText="1"/>
    </xf>
    <xf numFmtId="43" fontId="32" fillId="0" borderId="0" xfId="6" applyFont="1" applyFill="1">
      <alignment vertical="center"/>
    </xf>
    <xf numFmtId="0" fontId="33" fillId="0" borderId="0" xfId="2" applyFont="1" applyFill="1">
      <alignment vertical="center"/>
    </xf>
    <xf numFmtId="0" fontId="3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43" fontId="34" fillId="0" borderId="1" xfId="6" applyFont="1" applyFill="1" applyBorder="1" applyAlignment="1">
      <alignment horizontal="center" vertical="center" wrapText="1"/>
    </xf>
    <xf numFmtId="43" fontId="34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43" fontId="29" fillId="0" borderId="0" xfId="6" applyFont="1" applyFill="1">
      <alignment vertical="center"/>
    </xf>
    <xf numFmtId="43" fontId="7" fillId="0" borderId="0" xfId="2" applyNumberFormat="1" applyFont="1" applyFill="1">
      <alignment vertical="center"/>
    </xf>
    <xf numFmtId="9" fontId="7" fillId="0" borderId="0" xfId="2" applyNumberFormat="1" applyFont="1" applyFill="1">
      <alignment vertical="center"/>
    </xf>
    <xf numFmtId="0" fontId="34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49" fontId="11" fillId="4" borderId="1" xfId="2" applyNumberFormat="1" applyFont="1" applyFill="1" applyBorder="1" applyAlignment="1">
      <alignment horizontal="center" vertical="center" wrapText="1"/>
    </xf>
    <xf numFmtId="43" fontId="29" fillId="4" borderId="0" xfId="6" applyFont="1" applyFill="1">
      <alignment vertical="center"/>
    </xf>
    <xf numFmtId="43" fontId="7" fillId="4" borderId="0" xfId="2" applyNumberFormat="1" applyFont="1" applyFill="1">
      <alignment vertical="center"/>
    </xf>
    <xf numFmtId="9" fontId="7" fillId="4" borderId="0" xfId="2" applyNumberFormat="1" applyFont="1" applyFill="1">
      <alignment vertical="center"/>
    </xf>
    <xf numFmtId="0" fontId="7" fillId="4" borderId="0" xfId="2" applyFont="1" applyFill="1">
      <alignment vertical="center"/>
    </xf>
    <xf numFmtId="0" fontId="4" fillId="0" borderId="1" xfId="2" applyFont="1" applyBorder="1" applyAlignment="1">
      <alignment horizontal="left" vertical="center" shrinkToFit="1"/>
    </xf>
    <xf numFmtId="9" fontId="34" fillId="0" borderId="1" xfId="2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left" vertical="center" shrinkToFit="1"/>
    </xf>
    <xf numFmtId="9" fontId="34" fillId="4" borderId="1" xfId="2" applyNumberFormat="1" applyFont="1" applyFill="1" applyBorder="1" applyAlignment="1">
      <alignment horizontal="center" vertical="center"/>
    </xf>
    <xf numFmtId="0" fontId="34" fillId="4" borderId="1" xfId="2" applyFont="1" applyFill="1" applyBorder="1" applyAlignment="1">
      <alignment horizontal="center" vertical="center"/>
    </xf>
    <xf numFmtId="0" fontId="34" fillId="0" borderId="1" xfId="2" applyFont="1" applyFill="1" applyBorder="1" applyAlignment="1">
      <alignment horizontal="center" vertical="center"/>
    </xf>
    <xf numFmtId="0" fontId="7" fillId="0" borderId="1" xfId="2" applyFont="1" applyFill="1" applyBorder="1">
      <alignment vertical="center"/>
    </xf>
    <xf numFmtId="43" fontId="7" fillId="0" borderId="1" xfId="2" applyNumberFormat="1" applyFont="1" applyFill="1" applyBorder="1">
      <alignment vertical="center"/>
    </xf>
    <xf numFmtId="0" fontId="34" fillId="0" borderId="1" xfId="2" applyFont="1" applyFill="1" applyBorder="1">
      <alignment vertical="center"/>
    </xf>
    <xf numFmtId="0" fontId="7" fillId="0" borderId="0" xfId="2" applyFont="1" applyFill="1" applyAlignment="1">
      <alignment horizontal="center" vertical="center"/>
    </xf>
    <xf numFmtId="4" fontId="35" fillId="0" borderId="0" xfId="2" applyNumberFormat="1" applyFont="1" applyFill="1">
      <alignment vertical="center"/>
    </xf>
    <xf numFmtId="43" fontId="35" fillId="0" borderId="0" xfId="2" applyNumberFormat="1" applyFont="1" applyFill="1">
      <alignment vertical="center"/>
    </xf>
    <xf numFmtId="0" fontId="34" fillId="0" borderId="0" xfId="2" applyFont="1" applyFill="1">
      <alignment vertical="center"/>
    </xf>
    <xf numFmtId="43" fontId="18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43" fontId="29" fillId="0" borderId="0" xfId="6" applyFont="1" applyFill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37" fillId="0" borderId="1" xfId="2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7" fillId="0" borderId="1" xfId="2" applyNumberFormat="1" applyFont="1" applyBorder="1" applyAlignment="1">
      <alignment horizontal="center" vertical="center" wrapText="1"/>
    </xf>
    <xf numFmtId="43" fontId="37" fillId="0" borderId="1" xfId="2" applyNumberFormat="1" applyFont="1" applyFill="1" applyBorder="1" applyAlignment="1">
      <alignment horizontal="center" vertical="center" wrapText="1"/>
    </xf>
    <xf numFmtId="0" fontId="39" fillId="0" borderId="0" xfId="2" applyFont="1" applyFill="1">
      <alignment vertical="center"/>
    </xf>
    <xf numFmtId="43" fontId="7" fillId="0" borderId="0" xfId="2" applyNumberFormat="1" applyFont="1" applyFill="1" applyAlignment="1">
      <alignment horizontal="center" vertical="center"/>
    </xf>
    <xf numFmtId="0" fontId="26" fillId="0" borderId="1" xfId="2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left" vertical="center"/>
    </xf>
    <xf numFmtId="0" fontId="26" fillId="0" borderId="1" xfId="2" applyFont="1" applyFill="1" applyBorder="1" applyAlignment="1">
      <alignment horizontal="left" vertical="center" wrapText="1"/>
    </xf>
    <xf numFmtId="0" fontId="34" fillId="0" borderId="1" xfId="2" applyFont="1" applyFill="1" applyBorder="1" applyAlignment="1">
      <alignment vertical="center" wrapText="1"/>
    </xf>
    <xf numFmtId="49" fontId="7" fillId="0" borderId="0" xfId="2" applyNumberFormat="1" applyFont="1" applyFill="1">
      <alignment vertical="center"/>
    </xf>
    <xf numFmtId="49" fontId="39" fillId="0" borderId="0" xfId="2" applyNumberFormat="1" applyFont="1" applyFill="1">
      <alignment vertical="center"/>
    </xf>
    <xf numFmtId="49" fontId="0" fillId="0" borderId="0" xfId="0" applyNumberFormat="1">
      <alignment vertical="center"/>
    </xf>
    <xf numFmtId="43" fontId="26" fillId="0" borderId="1" xfId="0" applyNumberFormat="1" applyFont="1" applyFill="1" applyBorder="1" applyAlignment="1">
      <alignment horizontal="center" vertical="center" wrapText="1"/>
    </xf>
    <xf numFmtId="180" fontId="7" fillId="0" borderId="0" xfId="2" applyNumberFormat="1" applyFont="1" applyFill="1" applyAlignment="1">
      <alignment vertical="center" wrapText="1"/>
    </xf>
    <xf numFmtId="180" fontId="7" fillId="0" borderId="0" xfId="2" applyNumberFormat="1" applyFont="1" applyFill="1">
      <alignment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8" fillId="0" borderId="0" xfId="2" applyFont="1" applyFill="1" applyAlignment="1">
      <alignment horizontal="center" vertical="center"/>
    </xf>
  </cellXfs>
  <cellStyles count="7">
    <cellStyle name="常规" xfId="0" builtinId="0"/>
    <cellStyle name="常规 2" xfId="1"/>
    <cellStyle name="常规 3" xfId="2"/>
    <cellStyle name="常规 5" xfId="3"/>
    <cellStyle name="千位分隔" xfId="5" builtinId="3"/>
    <cellStyle name="千位分隔 2" xfId="4"/>
    <cellStyle name="千位分隔 3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5"/>
  <sheetViews>
    <sheetView topLeftCell="A58" zoomScale="80" zoomScaleNormal="80" workbookViewId="0">
      <selection activeCell="L75" sqref="L75"/>
    </sheetView>
  </sheetViews>
  <sheetFormatPr defaultColWidth="9" defaultRowHeight="14" x14ac:dyDescent="0.25"/>
  <cols>
    <col min="1" max="1" width="6.36328125" style="24" customWidth="1"/>
    <col min="2" max="2" width="27.6328125" style="25" bestFit="1" customWidth="1"/>
    <col min="3" max="3" width="10" style="24" customWidth="1"/>
    <col min="4" max="4" width="31.453125" style="25" customWidth="1"/>
    <col min="5" max="5" width="18.7265625" style="25" customWidth="1"/>
    <col min="6" max="6" width="12.08984375" style="24" customWidth="1"/>
    <col min="7" max="7" width="14.26953125" style="24" customWidth="1"/>
    <col min="8" max="8" width="15.36328125" style="24" customWidth="1"/>
    <col min="9" max="9" width="12.7265625" style="24" customWidth="1"/>
    <col min="10" max="11" width="15.90625" style="24" customWidth="1"/>
    <col min="12" max="12" width="12.36328125" style="24" customWidth="1"/>
    <col min="13" max="13" width="14.453125" style="24" customWidth="1"/>
    <col min="14" max="14" width="7.7265625" style="24" customWidth="1"/>
    <col min="15" max="15" width="9" style="25" customWidth="1"/>
    <col min="16" max="16" width="15.36328125" style="29" customWidth="1"/>
    <col min="17" max="17" width="27.453125" style="29" customWidth="1"/>
    <col min="18" max="18" width="33.90625" style="27" bestFit="1" customWidth="1"/>
    <col min="19" max="19" width="16.7265625" style="36" customWidth="1"/>
    <col min="20" max="20" width="45.7265625" style="36" bestFit="1" customWidth="1"/>
    <col min="21" max="21" width="16.7265625" style="36" customWidth="1"/>
    <col min="22" max="23" width="9" style="25"/>
    <col min="24" max="24" width="13.453125" style="39" bestFit="1" customWidth="1"/>
    <col min="25" max="25" width="12.6328125" style="39" bestFit="1" customWidth="1"/>
    <col min="26" max="26" width="9" style="25"/>
    <col min="27" max="27" width="10" style="25" bestFit="1" customWidth="1"/>
    <col min="28" max="16384" width="9" style="25"/>
  </cols>
  <sheetData>
    <row r="1" spans="1:26" s="23" customFormat="1" ht="28" x14ac:dyDescent="0.25">
      <c r="A1" s="30" t="s">
        <v>13</v>
      </c>
      <c r="B1" s="12" t="s">
        <v>0</v>
      </c>
      <c r="C1" s="13" t="s">
        <v>1</v>
      </c>
      <c r="D1" s="14" t="s">
        <v>2</v>
      </c>
      <c r="E1" s="15" t="s">
        <v>3</v>
      </c>
      <c r="F1" s="16" t="s">
        <v>4</v>
      </c>
      <c r="G1" s="17" t="s">
        <v>5</v>
      </c>
      <c r="H1" s="16" t="s">
        <v>6</v>
      </c>
      <c r="I1" s="18" t="s">
        <v>14</v>
      </c>
      <c r="J1" s="19" t="s">
        <v>15</v>
      </c>
      <c r="K1" s="35" t="s">
        <v>16</v>
      </c>
      <c r="L1" s="20" t="s">
        <v>12</v>
      </c>
      <c r="M1" s="21" t="s">
        <v>17</v>
      </c>
      <c r="N1" s="22" t="s">
        <v>7</v>
      </c>
      <c r="O1" s="21" t="s">
        <v>8</v>
      </c>
      <c r="P1" s="27" t="s">
        <v>9</v>
      </c>
      <c r="Q1" s="27" t="s">
        <v>10</v>
      </c>
      <c r="R1" s="27" t="s">
        <v>11</v>
      </c>
      <c r="S1" s="36"/>
      <c r="T1" s="36" t="s">
        <v>473</v>
      </c>
      <c r="U1" s="36"/>
      <c r="V1" s="41"/>
      <c r="W1" s="41"/>
      <c r="X1" s="40"/>
      <c r="Y1" s="42"/>
    </row>
    <row r="2" spans="1:26" s="11" customFormat="1" ht="22.15" customHeight="1" x14ac:dyDescent="0.25">
      <c r="A2" s="3">
        <v>1</v>
      </c>
      <c r="B2" s="4" t="s">
        <v>236</v>
      </c>
      <c r="C2" s="86"/>
      <c r="D2" s="6" t="s">
        <v>237</v>
      </c>
      <c r="E2" s="7" t="s">
        <v>238</v>
      </c>
      <c r="F2" s="1">
        <v>44617</v>
      </c>
      <c r="G2" s="8">
        <v>5000000</v>
      </c>
      <c r="H2" s="1">
        <v>44981</v>
      </c>
      <c r="I2" s="8"/>
      <c r="J2" s="1"/>
      <c r="K2" s="1">
        <v>44927</v>
      </c>
      <c r="L2" s="2">
        <v>184</v>
      </c>
      <c r="M2" s="9"/>
      <c r="N2" s="10" t="s">
        <v>168</v>
      </c>
      <c r="O2" s="26" t="s">
        <v>150</v>
      </c>
      <c r="P2" s="28">
        <v>15757127081</v>
      </c>
      <c r="Q2" s="43" t="s">
        <v>239</v>
      </c>
      <c r="R2" s="6" t="s">
        <v>240</v>
      </c>
      <c r="S2" s="87"/>
      <c r="T2" s="87" t="s">
        <v>472</v>
      </c>
      <c r="U2" s="87"/>
      <c r="V2" s="11">
        <f>K2-F2-126</f>
        <v>184</v>
      </c>
      <c r="W2" s="11">
        <f>L2-V2</f>
        <v>0</v>
      </c>
      <c r="X2" s="38">
        <f>INT(G2*(V2/365)*3.7%*50%)</f>
        <v>46630</v>
      </c>
      <c r="Y2" s="87" t="s">
        <v>151</v>
      </c>
      <c r="Z2" s="38"/>
    </row>
    <row r="3" spans="1:26" s="11" customFormat="1" ht="22.15" customHeight="1" x14ac:dyDescent="0.25">
      <c r="A3" s="3">
        <v>2</v>
      </c>
      <c r="B3" s="4" t="s">
        <v>241</v>
      </c>
      <c r="C3" s="86"/>
      <c r="D3" s="6" t="s">
        <v>242</v>
      </c>
      <c r="E3" s="7" t="s">
        <v>243</v>
      </c>
      <c r="F3" s="1">
        <v>44820</v>
      </c>
      <c r="G3" s="8">
        <v>9000000</v>
      </c>
      <c r="H3" s="1">
        <v>45183</v>
      </c>
      <c r="I3" s="8"/>
      <c r="J3" s="1"/>
      <c r="K3" s="1">
        <v>44927</v>
      </c>
      <c r="L3" s="2">
        <v>107</v>
      </c>
      <c r="M3" s="9"/>
      <c r="N3" s="10" t="s">
        <v>168</v>
      </c>
      <c r="O3" s="26" t="s">
        <v>152</v>
      </c>
      <c r="P3" s="28">
        <v>18268230720</v>
      </c>
      <c r="Q3" s="43" t="s">
        <v>244</v>
      </c>
      <c r="R3" s="6" t="s">
        <v>245</v>
      </c>
      <c r="S3" s="87"/>
      <c r="T3" s="87"/>
      <c r="U3" s="87"/>
      <c r="V3" s="11">
        <f t="shared" ref="V3:V58" si="0">K3-F3</f>
        <v>107</v>
      </c>
      <c r="W3" s="11">
        <f t="shared" ref="W3:W51" si="1">L3-V3</f>
        <v>0</v>
      </c>
      <c r="X3" s="38">
        <f t="shared" ref="X3:X58" si="2">INT(G3*(V3/365)*3.7%*50%)</f>
        <v>48809</v>
      </c>
      <c r="Y3" s="87" t="s">
        <v>153</v>
      </c>
      <c r="Z3" s="38"/>
    </row>
    <row r="4" spans="1:26" s="11" customFormat="1" ht="25.15" customHeight="1" x14ac:dyDescent="0.25">
      <c r="A4" s="3">
        <v>3</v>
      </c>
      <c r="B4" s="4" t="s">
        <v>246</v>
      </c>
      <c r="C4" s="5"/>
      <c r="D4" s="6" t="s">
        <v>247</v>
      </c>
      <c r="E4" s="7" t="s">
        <v>248</v>
      </c>
      <c r="F4" s="1">
        <v>44802</v>
      </c>
      <c r="G4" s="8">
        <v>10000000</v>
      </c>
      <c r="H4" s="1">
        <v>45160</v>
      </c>
      <c r="I4" s="8"/>
      <c r="J4" s="1"/>
      <c r="K4" s="1">
        <v>44927</v>
      </c>
      <c r="L4" s="2">
        <v>125</v>
      </c>
      <c r="M4" s="9"/>
      <c r="N4" s="10" t="s">
        <v>168</v>
      </c>
      <c r="O4" s="26" t="s">
        <v>154</v>
      </c>
      <c r="P4" s="28">
        <v>13738222545</v>
      </c>
      <c r="Q4" s="43" t="s">
        <v>249</v>
      </c>
      <c r="R4" s="6" t="s">
        <v>250</v>
      </c>
      <c r="S4" s="87"/>
      <c r="T4" s="87" t="s">
        <v>251</v>
      </c>
      <c r="U4" s="87"/>
      <c r="V4" s="11">
        <f t="shared" si="0"/>
        <v>125</v>
      </c>
      <c r="W4" s="11">
        <f t="shared" si="1"/>
        <v>0</v>
      </c>
      <c r="X4" s="38">
        <f t="shared" si="2"/>
        <v>63356</v>
      </c>
      <c r="Y4" s="87" t="s">
        <v>155</v>
      </c>
      <c r="Z4" s="38"/>
    </row>
    <row r="5" spans="1:26" s="11" customFormat="1" ht="22.15" customHeight="1" x14ac:dyDescent="0.25">
      <c r="A5" s="3">
        <v>4</v>
      </c>
      <c r="B5" s="4" t="s">
        <v>252</v>
      </c>
      <c r="C5" s="86"/>
      <c r="D5" s="6" t="s">
        <v>253</v>
      </c>
      <c r="E5" s="6" t="s">
        <v>254</v>
      </c>
      <c r="F5" s="1">
        <v>44736</v>
      </c>
      <c r="G5" s="8">
        <v>20000000</v>
      </c>
      <c r="H5" s="1">
        <v>45098</v>
      </c>
      <c r="I5" s="8"/>
      <c r="J5" s="1"/>
      <c r="K5" s="1">
        <v>44927</v>
      </c>
      <c r="L5" s="2">
        <v>191</v>
      </c>
      <c r="M5" s="9"/>
      <c r="N5" s="10" t="s">
        <v>168</v>
      </c>
      <c r="O5" s="26" t="s">
        <v>156</v>
      </c>
      <c r="P5" s="88">
        <v>13819234677</v>
      </c>
      <c r="Q5" s="43" t="s">
        <v>255</v>
      </c>
      <c r="R5" s="6" t="s">
        <v>256</v>
      </c>
      <c r="S5" s="87"/>
      <c r="T5" s="87"/>
      <c r="U5" s="89"/>
      <c r="V5" s="11">
        <f t="shared" si="0"/>
        <v>191</v>
      </c>
      <c r="W5" s="11">
        <f t="shared" si="1"/>
        <v>0</v>
      </c>
      <c r="X5" s="38">
        <f>INT(G5*(V5/365)*3.2%*50%)</f>
        <v>167452</v>
      </c>
      <c r="Y5" s="89" t="s">
        <v>157</v>
      </c>
      <c r="Z5" s="38"/>
    </row>
    <row r="6" spans="1:26" s="11" customFormat="1" ht="22.15" customHeight="1" x14ac:dyDescent="0.25">
      <c r="A6" s="3">
        <v>5</v>
      </c>
      <c r="B6" s="4" t="s">
        <v>257</v>
      </c>
      <c r="C6" s="86"/>
      <c r="D6" s="6" t="s">
        <v>258</v>
      </c>
      <c r="E6" s="7" t="s">
        <v>259</v>
      </c>
      <c r="F6" s="1">
        <v>44741</v>
      </c>
      <c r="G6" s="8">
        <v>8000000</v>
      </c>
      <c r="H6" s="1">
        <v>45104</v>
      </c>
      <c r="I6" s="8"/>
      <c r="J6" s="1"/>
      <c r="K6" s="1">
        <v>44927</v>
      </c>
      <c r="L6" s="2">
        <v>186</v>
      </c>
      <c r="M6" s="9"/>
      <c r="N6" s="10" t="s">
        <v>168</v>
      </c>
      <c r="O6" s="26" t="s">
        <v>260</v>
      </c>
      <c r="P6" s="28" t="s">
        <v>261</v>
      </c>
      <c r="Q6" s="43" t="s">
        <v>262</v>
      </c>
      <c r="R6" s="6" t="s">
        <v>263</v>
      </c>
      <c r="S6" s="87"/>
      <c r="T6" s="90"/>
      <c r="U6" s="87"/>
      <c r="V6" s="11">
        <f t="shared" si="0"/>
        <v>186</v>
      </c>
      <c r="W6" s="11">
        <f t="shared" si="1"/>
        <v>0</v>
      </c>
      <c r="X6" s="38">
        <f t="shared" si="2"/>
        <v>75419</v>
      </c>
      <c r="Y6" s="87" t="s">
        <v>151</v>
      </c>
      <c r="Z6" s="38"/>
    </row>
    <row r="7" spans="1:26" s="11" customFormat="1" ht="22.15" customHeight="1" x14ac:dyDescent="0.25">
      <c r="A7" s="3">
        <v>5</v>
      </c>
      <c r="B7" s="4" t="s">
        <v>257</v>
      </c>
      <c r="C7" s="86"/>
      <c r="D7" s="6" t="s">
        <v>264</v>
      </c>
      <c r="E7" s="7" t="s">
        <v>265</v>
      </c>
      <c r="F7" s="1">
        <v>44749</v>
      </c>
      <c r="G7" s="8">
        <v>8000000</v>
      </c>
      <c r="H7" s="1">
        <v>45112</v>
      </c>
      <c r="I7" s="8"/>
      <c r="J7" s="1"/>
      <c r="K7" s="1">
        <v>44927</v>
      </c>
      <c r="L7" s="2">
        <v>178</v>
      </c>
      <c r="M7" s="9"/>
      <c r="N7" s="10" t="s">
        <v>168</v>
      </c>
      <c r="O7" s="26" t="s">
        <v>260</v>
      </c>
      <c r="P7" s="28" t="s">
        <v>261</v>
      </c>
      <c r="Q7" s="43" t="s">
        <v>262</v>
      </c>
      <c r="R7" s="6" t="s">
        <v>263</v>
      </c>
      <c r="S7" s="87"/>
      <c r="T7" s="90"/>
      <c r="U7" s="87"/>
      <c r="V7" s="11">
        <f t="shared" si="0"/>
        <v>178</v>
      </c>
      <c r="W7" s="11">
        <f t="shared" si="1"/>
        <v>0</v>
      </c>
      <c r="X7" s="38">
        <f t="shared" si="2"/>
        <v>72175</v>
      </c>
      <c r="Y7" s="87" t="s">
        <v>155</v>
      </c>
      <c r="Z7" s="38"/>
    </row>
    <row r="8" spans="1:26" s="11" customFormat="1" ht="22.15" customHeight="1" x14ac:dyDescent="0.25">
      <c r="A8" s="3">
        <v>6</v>
      </c>
      <c r="B8" s="4" t="s">
        <v>266</v>
      </c>
      <c r="C8" s="86"/>
      <c r="D8" s="6" t="s">
        <v>237</v>
      </c>
      <c r="E8" s="7" t="s">
        <v>267</v>
      </c>
      <c r="F8" s="1">
        <v>44826</v>
      </c>
      <c r="G8" s="8">
        <v>10000000</v>
      </c>
      <c r="H8" s="1">
        <v>45184</v>
      </c>
      <c r="I8" s="8"/>
      <c r="J8" s="1"/>
      <c r="K8" s="1">
        <v>44927</v>
      </c>
      <c r="L8" s="2">
        <v>101</v>
      </c>
      <c r="M8" s="9"/>
      <c r="N8" s="10" t="s">
        <v>168</v>
      </c>
      <c r="O8" s="26" t="s">
        <v>158</v>
      </c>
      <c r="P8" s="88">
        <v>13564309051</v>
      </c>
      <c r="Q8" s="43" t="s">
        <v>268</v>
      </c>
      <c r="R8" s="6" t="s">
        <v>269</v>
      </c>
      <c r="S8" s="87"/>
      <c r="T8" s="90"/>
      <c r="U8" s="91"/>
      <c r="V8" s="11">
        <f t="shared" si="0"/>
        <v>101</v>
      </c>
      <c r="W8" s="11">
        <f t="shared" si="1"/>
        <v>0</v>
      </c>
      <c r="X8" s="38">
        <f>INT(G8*(V8/365)*3.65%*50%)</f>
        <v>50500</v>
      </c>
      <c r="Y8" s="91" t="s">
        <v>159</v>
      </c>
      <c r="Z8" s="38"/>
    </row>
    <row r="9" spans="1:26" s="77" customFormat="1" ht="22.15" customHeight="1" x14ac:dyDescent="0.25">
      <c r="A9" s="3">
        <v>7</v>
      </c>
      <c r="B9" s="4" t="s">
        <v>270</v>
      </c>
      <c r="C9" s="86"/>
      <c r="D9" s="6" t="s">
        <v>271</v>
      </c>
      <c r="E9" s="7" t="s">
        <v>272</v>
      </c>
      <c r="F9" s="1">
        <v>44711</v>
      </c>
      <c r="G9" s="8">
        <v>3000000</v>
      </c>
      <c r="H9" s="1">
        <v>45073</v>
      </c>
      <c r="I9" s="8"/>
      <c r="J9" s="1"/>
      <c r="K9" s="1">
        <v>44927</v>
      </c>
      <c r="L9" s="2">
        <v>216</v>
      </c>
      <c r="M9" s="9"/>
      <c r="N9" s="10" t="s">
        <v>168</v>
      </c>
      <c r="O9" s="26" t="s">
        <v>160</v>
      </c>
      <c r="P9" s="28" t="s">
        <v>161</v>
      </c>
      <c r="Q9" s="43" t="s">
        <v>273</v>
      </c>
      <c r="R9" s="6" t="s">
        <v>274</v>
      </c>
      <c r="S9" s="87"/>
      <c r="T9" s="87"/>
      <c r="U9" s="87"/>
      <c r="V9" s="11">
        <f t="shared" si="0"/>
        <v>216</v>
      </c>
      <c r="W9" s="11">
        <f t="shared" si="1"/>
        <v>0</v>
      </c>
      <c r="X9" s="38">
        <f t="shared" si="2"/>
        <v>32843</v>
      </c>
      <c r="Y9" s="87" t="s">
        <v>162</v>
      </c>
      <c r="Z9" s="76"/>
    </row>
    <row r="10" spans="1:26" s="77" customFormat="1" ht="22.15" customHeight="1" x14ac:dyDescent="0.25">
      <c r="A10" s="3">
        <v>7</v>
      </c>
      <c r="B10" s="4" t="s">
        <v>270</v>
      </c>
      <c r="C10" s="86"/>
      <c r="D10" s="6" t="s">
        <v>275</v>
      </c>
      <c r="E10" s="7" t="s">
        <v>276</v>
      </c>
      <c r="F10" s="1">
        <v>44782</v>
      </c>
      <c r="G10" s="8">
        <v>5000000</v>
      </c>
      <c r="H10" s="1">
        <v>45142</v>
      </c>
      <c r="I10" s="8"/>
      <c r="J10" s="1"/>
      <c r="K10" s="1">
        <v>44927</v>
      </c>
      <c r="L10" s="2">
        <v>145</v>
      </c>
      <c r="M10" s="9"/>
      <c r="N10" s="10" t="s">
        <v>168</v>
      </c>
      <c r="O10" s="26" t="s">
        <v>160</v>
      </c>
      <c r="P10" s="28" t="s">
        <v>161</v>
      </c>
      <c r="Q10" s="43" t="s">
        <v>273</v>
      </c>
      <c r="R10" s="6" t="s">
        <v>274</v>
      </c>
      <c r="S10" s="87"/>
      <c r="T10" s="87"/>
      <c r="U10" s="87"/>
      <c r="V10" s="11">
        <f t="shared" si="0"/>
        <v>145</v>
      </c>
      <c r="W10" s="11">
        <f t="shared" si="1"/>
        <v>0</v>
      </c>
      <c r="X10" s="38">
        <f t="shared" si="2"/>
        <v>36746</v>
      </c>
      <c r="Y10" s="87" t="s">
        <v>151</v>
      </c>
      <c r="Z10" s="76"/>
    </row>
    <row r="11" spans="1:26" s="77" customFormat="1" ht="22.15" customHeight="1" x14ac:dyDescent="0.25">
      <c r="A11" s="3">
        <v>8</v>
      </c>
      <c r="B11" s="4" t="s">
        <v>277</v>
      </c>
      <c r="C11" s="86"/>
      <c r="D11" s="6" t="s">
        <v>278</v>
      </c>
      <c r="E11" s="7" t="s">
        <v>279</v>
      </c>
      <c r="F11" s="1">
        <v>44677</v>
      </c>
      <c r="G11" s="8">
        <v>5000000</v>
      </c>
      <c r="H11" s="1">
        <v>45041</v>
      </c>
      <c r="I11" s="8"/>
      <c r="J11" s="1"/>
      <c r="K11" s="1">
        <v>44927</v>
      </c>
      <c r="L11" s="2">
        <v>250</v>
      </c>
      <c r="M11" s="9"/>
      <c r="N11" s="10" t="s">
        <v>168</v>
      </c>
      <c r="O11" s="26" t="s">
        <v>163</v>
      </c>
      <c r="P11" s="28">
        <v>18868202700</v>
      </c>
      <c r="Q11" s="43" t="s">
        <v>280</v>
      </c>
      <c r="R11" s="6" t="s">
        <v>281</v>
      </c>
      <c r="S11" s="87"/>
      <c r="T11" s="87"/>
      <c r="U11" s="87"/>
      <c r="V11" s="11">
        <f t="shared" si="0"/>
        <v>250</v>
      </c>
      <c r="W11" s="11">
        <f t="shared" si="1"/>
        <v>0</v>
      </c>
      <c r="X11" s="38">
        <f t="shared" si="2"/>
        <v>63356</v>
      </c>
      <c r="Y11" s="87" t="s">
        <v>164</v>
      </c>
      <c r="Z11" s="76"/>
    </row>
    <row r="12" spans="1:26" s="77" customFormat="1" ht="22.15" customHeight="1" x14ac:dyDescent="0.25">
      <c r="A12" s="3">
        <v>9</v>
      </c>
      <c r="B12" s="4" t="s">
        <v>165</v>
      </c>
      <c r="C12" s="5"/>
      <c r="D12" s="6" t="s">
        <v>166</v>
      </c>
      <c r="E12" s="7" t="s">
        <v>167</v>
      </c>
      <c r="F12" s="1">
        <v>44648</v>
      </c>
      <c r="G12" s="8">
        <v>2000000</v>
      </c>
      <c r="H12" s="1">
        <v>45008</v>
      </c>
      <c r="I12" s="8"/>
      <c r="J12" s="1"/>
      <c r="K12" s="1">
        <v>44927</v>
      </c>
      <c r="L12" s="2">
        <f>DATEDIF("2022-6-30","2022-8-15","d")</f>
        <v>46</v>
      </c>
      <c r="M12" s="9"/>
      <c r="N12" s="10" t="s">
        <v>168</v>
      </c>
      <c r="O12" s="92" t="s">
        <v>169</v>
      </c>
      <c r="P12" s="28" t="s">
        <v>170</v>
      </c>
      <c r="Q12" s="43" t="s">
        <v>171</v>
      </c>
      <c r="R12" s="93" t="s">
        <v>172</v>
      </c>
      <c r="S12" s="87"/>
      <c r="T12" s="94" t="s">
        <v>173</v>
      </c>
      <c r="U12" s="94"/>
      <c r="V12" s="11">
        <f>K12-F12-95</f>
        <v>184</v>
      </c>
      <c r="W12" s="11">
        <f t="shared" si="1"/>
        <v>-138</v>
      </c>
      <c r="X12" s="38">
        <f t="shared" si="2"/>
        <v>18652</v>
      </c>
      <c r="Y12" s="78">
        <v>3.7999999999999999E-2</v>
      </c>
      <c r="Z12" s="76"/>
    </row>
    <row r="13" spans="1:26" s="77" customFormat="1" ht="22.15" customHeight="1" x14ac:dyDescent="0.25">
      <c r="A13" s="3"/>
      <c r="B13" s="4" t="s">
        <v>165</v>
      </c>
      <c r="C13" s="5"/>
      <c r="D13" s="6" t="s">
        <v>166</v>
      </c>
      <c r="E13" s="7" t="s">
        <v>167</v>
      </c>
      <c r="F13" s="1">
        <v>44648</v>
      </c>
      <c r="G13" s="8">
        <v>2000000</v>
      </c>
      <c r="H13" s="1">
        <v>45008</v>
      </c>
      <c r="I13" s="8"/>
      <c r="J13" s="1"/>
      <c r="K13" s="1">
        <v>44927</v>
      </c>
      <c r="L13" s="2">
        <f>DATEDIF("2022-8-16","2023-1-1","d")</f>
        <v>138</v>
      </c>
      <c r="M13" s="9"/>
      <c r="N13" s="10" t="s">
        <v>168</v>
      </c>
      <c r="O13" s="92" t="s">
        <v>169</v>
      </c>
      <c r="P13" s="28" t="s">
        <v>170</v>
      </c>
      <c r="Q13" s="43" t="s">
        <v>171</v>
      </c>
      <c r="R13" s="93" t="s">
        <v>172</v>
      </c>
      <c r="S13" s="87"/>
      <c r="T13" s="94"/>
      <c r="U13" s="94"/>
      <c r="V13" s="11"/>
      <c r="W13" s="11"/>
      <c r="X13" s="38"/>
      <c r="Y13" s="78"/>
      <c r="Z13" s="76"/>
    </row>
    <row r="14" spans="1:26" s="77" customFormat="1" x14ac:dyDescent="0.25">
      <c r="A14" s="3">
        <v>9</v>
      </c>
      <c r="B14" s="4" t="s">
        <v>165</v>
      </c>
      <c r="C14" s="5"/>
      <c r="D14" s="6" t="s">
        <v>166</v>
      </c>
      <c r="E14" s="7" t="s">
        <v>174</v>
      </c>
      <c r="F14" s="1">
        <v>44813</v>
      </c>
      <c r="G14" s="8">
        <v>8000000</v>
      </c>
      <c r="H14" s="1">
        <v>45175</v>
      </c>
      <c r="I14" s="8"/>
      <c r="J14" s="1"/>
      <c r="K14" s="1">
        <v>44927</v>
      </c>
      <c r="L14" s="2">
        <v>114</v>
      </c>
      <c r="M14" s="9"/>
      <c r="N14" s="10" t="s">
        <v>168</v>
      </c>
      <c r="O14" s="92" t="s">
        <v>169</v>
      </c>
      <c r="P14" s="28" t="s">
        <v>170</v>
      </c>
      <c r="Q14" s="43" t="s">
        <v>171</v>
      </c>
      <c r="R14" s="93" t="s">
        <v>172</v>
      </c>
      <c r="S14" s="87"/>
      <c r="T14" s="94"/>
      <c r="U14" s="94"/>
      <c r="V14" s="11">
        <f t="shared" si="0"/>
        <v>114</v>
      </c>
      <c r="W14" s="11">
        <f t="shared" si="1"/>
        <v>0</v>
      </c>
      <c r="X14" s="38">
        <f>INT(G14*(V14/365)*3.4%*50%)</f>
        <v>42476</v>
      </c>
      <c r="Y14" s="45">
        <v>3.4000000000000002E-2</v>
      </c>
      <c r="Z14" s="76"/>
    </row>
    <row r="15" spans="1:26" s="77" customFormat="1" ht="22.15" customHeight="1" x14ac:dyDescent="0.25">
      <c r="A15" s="3">
        <v>10</v>
      </c>
      <c r="B15" s="4" t="s">
        <v>175</v>
      </c>
      <c r="C15" s="5"/>
      <c r="D15" s="6" t="s">
        <v>176</v>
      </c>
      <c r="E15" s="7" t="s">
        <v>177</v>
      </c>
      <c r="F15" s="1">
        <v>44728</v>
      </c>
      <c r="G15" s="8">
        <v>3000000</v>
      </c>
      <c r="H15" s="1">
        <v>44908</v>
      </c>
      <c r="I15" s="8">
        <v>2995000</v>
      </c>
      <c r="J15" s="1">
        <v>44908</v>
      </c>
      <c r="K15" s="1">
        <v>44908</v>
      </c>
      <c r="L15" s="2">
        <v>180</v>
      </c>
      <c r="M15" s="9"/>
      <c r="N15" s="10" t="s">
        <v>168</v>
      </c>
      <c r="O15" s="92" t="s">
        <v>178</v>
      </c>
      <c r="P15" s="28" t="s">
        <v>179</v>
      </c>
      <c r="Q15" s="43" t="s">
        <v>180</v>
      </c>
      <c r="R15" s="93" t="s">
        <v>33</v>
      </c>
      <c r="S15" s="87"/>
      <c r="T15" s="94"/>
      <c r="U15" s="94"/>
      <c r="V15" s="11">
        <f t="shared" si="0"/>
        <v>180</v>
      </c>
      <c r="W15" s="11">
        <f t="shared" si="1"/>
        <v>0</v>
      </c>
      <c r="X15" s="38">
        <f t="shared" si="2"/>
        <v>27369</v>
      </c>
      <c r="Y15" s="95">
        <v>0.04</v>
      </c>
      <c r="Z15" s="76"/>
    </row>
    <row r="16" spans="1:26" s="77" customFormat="1" ht="22.15" customHeight="1" x14ac:dyDescent="0.25">
      <c r="A16" s="3">
        <v>10</v>
      </c>
      <c r="B16" s="4" t="s">
        <v>175</v>
      </c>
      <c r="C16" s="5"/>
      <c r="D16" s="6" t="s">
        <v>176</v>
      </c>
      <c r="E16" s="7" t="s">
        <v>177</v>
      </c>
      <c r="F16" s="1">
        <v>44728</v>
      </c>
      <c r="G16" s="8">
        <v>3000000</v>
      </c>
      <c r="H16" s="1">
        <v>44908</v>
      </c>
      <c r="I16" s="8">
        <v>5000</v>
      </c>
      <c r="J16" s="1">
        <v>44903</v>
      </c>
      <c r="K16" s="1">
        <v>44903</v>
      </c>
      <c r="L16" s="2">
        <v>175</v>
      </c>
      <c r="M16" s="9"/>
      <c r="N16" s="10" t="s">
        <v>168</v>
      </c>
      <c r="O16" s="92" t="s">
        <v>178</v>
      </c>
      <c r="P16" s="28" t="s">
        <v>179</v>
      </c>
      <c r="Q16" s="43" t="s">
        <v>180</v>
      </c>
      <c r="R16" s="93" t="s">
        <v>33</v>
      </c>
      <c r="S16" s="87"/>
      <c r="T16" s="94"/>
      <c r="U16" s="94"/>
      <c r="V16" s="11">
        <f t="shared" si="0"/>
        <v>175</v>
      </c>
      <c r="W16" s="11">
        <f t="shared" si="1"/>
        <v>0</v>
      </c>
      <c r="X16" s="38">
        <f t="shared" si="2"/>
        <v>26609</v>
      </c>
      <c r="Y16" s="95">
        <v>0.04</v>
      </c>
      <c r="Z16" s="76"/>
    </row>
    <row r="17" spans="1:26" s="77" customFormat="1" ht="22.15" customHeight="1" x14ac:dyDescent="0.25">
      <c r="A17" s="3">
        <v>10</v>
      </c>
      <c r="B17" s="4" t="s">
        <v>175</v>
      </c>
      <c r="C17" s="5"/>
      <c r="D17" s="6" t="s">
        <v>51</v>
      </c>
      <c r="E17" s="96" t="s">
        <v>181</v>
      </c>
      <c r="F17" s="1">
        <v>44782</v>
      </c>
      <c r="G17" s="8">
        <v>5000000</v>
      </c>
      <c r="H17" s="1">
        <v>45146</v>
      </c>
      <c r="I17" s="8"/>
      <c r="J17" s="1"/>
      <c r="K17" s="1">
        <v>44927</v>
      </c>
      <c r="L17" s="2">
        <v>145</v>
      </c>
      <c r="M17" s="9"/>
      <c r="N17" s="10" t="s">
        <v>168</v>
      </c>
      <c r="O17" s="92" t="s">
        <v>178</v>
      </c>
      <c r="P17" s="28" t="s">
        <v>179</v>
      </c>
      <c r="Q17" s="43" t="s">
        <v>180</v>
      </c>
      <c r="R17" s="93" t="s">
        <v>33</v>
      </c>
      <c r="S17" s="87"/>
      <c r="T17" s="94"/>
      <c r="U17" s="94"/>
      <c r="V17" s="11">
        <f t="shared" si="0"/>
        <v>145</v>
      </c>
      <c r="W17" s="11">
        <f t="shared" si="1"/>
        <v>0</v>
      </c>
      <c r="X17" s="38">
        <f>INT(G17*(V17/365)*3.68%*50%)</f>
        <v>36547</v>
      </c>
      <c r="Y17" s="45">
        <v>3.6799999999999999E-2</v>
      </c>
      <c r="Z17" s="76"/>
    </row>
    <row r="18" spans="1:26" s="77" customFormat="1" ht="22.15" customHeight="1" x14ac:dyDescent="0.25">
      <c r="A18" s="3">
        <v>10</v>
      </c>
      <c r="B18" s="4" t="s">
        <v>175</v>
      </c>
      <c r="C18" s="5"/>
      <c r="D18" s="6" t="s">
        <v>182</v>
      </c>
      <c r="E18" s="7" t="s">
        <v>183</v>
      </c>
      <c r="F18" s="1">
        <v>44727</v>
      </c>
      <c r="G18" s="8">
        <v>2000000</v>
      </c>
      <c r="H18" s="1">
        <v>45086</v>
      </c>
      <c r="I18" s="8"/>
      <c r="J18" s="1"/>
      <c r="K18" s="1">
        <v>44927</v>
      </c>
      <c r="L18" s="2">
        <v>200</v>
      </c>
      <c r="M18" s="9"/>
      <c r="N18" s="10" t="s">
        <v>168</v>
      </c>
      <c r="O18" s="92" t="s">
        <v>178</v>
      </c>
      <c r="P18" s="28" t="s">
        <v>179</v>
      </c>
      <c r="Q18" s="43" t="s">
        <v>180</v>
      </c>
      <c r="R18" s="93" t="s">
        <v>33</v>
      </c>
      <c r="S18" s="87"/>
      <c r="T18" s="94"/>
      <c r="U18" s="94"/>
      <c r="V18" s="11">
        <f t="shared" si="0"/>
        <v>200</v>
      </c>
      <c r="W18" s="11">
        <f t="shared" si="1"/>
        <v>0</v>
      </c>
      <c r="X18" s="38">
        <f t="shared" si="2"/>
        <v>20273</v>
      </c>
      <c r="Z18" s="76"/>
    </row>
    <row r="19" spans="1:26" s="77" customFormat="1" ht="22.15" customHeight="1" x14ac:dyDescent="0.25">
      <c r="A19" s="3">
        <v>10</v>
      </c>
      <c r="B19" s="4" t="s">
        <v>175</v>
      </c>
      <c r="C19" s="5"/>
      <c r="D19" s="6" t="s">
        <v>182</v>
      </c>
      <c r="E19" s="7" t="s">
        <v>184</v>
      </c>
      <c r="F19" s="1">
        <v>44727</v>
      </c>
      <c r="G19" s="8">
        <v>3000000</v>
      </c>
      <c r="H19" s="1">
        <v>45086</v>
      </c>
      <c r="I19" s="8"/>
      <c r="J19" s="1"/>
      <c r="K19" s="1">
        <v>44927</v>
      </c>
      <c r="L19" s="2">
        <v>200</v>
      </c>
      <c r="M19" s="9"/>
      <c r="N19" s="10" t="s">
        <v>168</v>
      </c>
      <c r="O19" s="92" t="s">
        <v>178</v>
      </c>
      <c r="P19" s="28" t="s">
        <v>179</v>
      </c>
      <c r="Q19" s="43" t="s">
        <v>180</v>
      </c>
      <c r="R19" s="93" t="s">
        <v>33</v>
      </c>
      <c r="S19" s="87"/>
      <c r="T19" s="94"/>
      <c r="U19" s="94"/>
      <c r="V19" s="11">
        <f t="shared" si="0"/>
        <v>200</v>
      </c>
      <c r="W19" s="11">
        <f t="shared" si="1"/>
        <v>0</v>
      </c>
      <c r="X19" s="38">
        <f t="shared" si="2"/>
        <v>30410</v>
      </c>
      <c r="Z19" s="76"/>
    </row>
    <row r="20" spans="1:26" s="77" customFormat="1" ht="22.15" customHeight="1" x14ac:dyDescent="0.25">
      <c r="A20" s="3">
        <v>10</v>
      </c>
      <c r="B20" s="4" t="s">
        <v>175</v>
      </c>
      <c r="C20" s="5"/>
      <c r="D20" s="6" t="s">
        <v>182</v>
      </c>
      <c r="E20" s="7" t="s">
        <v>185</v>
      </c>
      <c r="F20" s="1">
        <v>44728</v>
      </c>
      <c r="G20" s="8">
        <v>4500000</v>
      </c>
      <c r="H20" s="1">
        <v>45086</v>
      </c>
      <c r="I20" s="8"/>
      <c r="J20" s="1"/>
      <c r="K20" s="1">
        <v>44927</v>
      </c>
      <c r="L20" s="2">
        <v>199</v>
      </c>
      <c r="M20" s="9"/>
      <c r="N20" s="10" t="s">
        <v>168</v>
      </c>
      <c r="O20" s="92" t="s">
        <v>178</v>
      </c>
      <c r="P20" s="28" t="s">
        <v>179</v>
      </c>
      <c r="Q20" s="43" t="s">
        <v>180</v>
      </c>
      <c r="R20" s="93" t="s">
        <v>33</v>
      </c>
      <c r="S20" s="87"/>
      <c r="T20" s="94"/>
      <c r="U20" s="94"/>
      <c r="V20" s="11">
        <f t="shared" si="0"/>
        <v>199</v>
      </c>
      <c r="W20" s="11">
        <f t="shared" si="1"/>
        <v>0</v>
      </c>
      <c r="X20" s="38">
        <f t="shared" si="2"/>
        <v>45388</v>
      </c>
      <c r="Z20" s="76"/>
    </row>
    <row r="21" spans="1:26" s="77" customFormat="1" ht="22.15" customHeight="1" x14ac:dyDescent="0.25">
      <c r="A21" s="3">
        <v>10</v>
      </c>
      <c r="B21" s="4" t="s">
        <v>175</v>
      </c>
      <c r="C21" s="5"/>
      <c r="D21" s="6" t="s">
        <v>186</v>
      </c>
      <c r="E21" s="7" t="s">
        <v>187</v>
      </c>
      <c r="F21" s="1">
        <v>44645</v>
      </c>
      <c r="G21" s="8">
        <v>1000000</v>
      </c>
      <c r="H21" s="1">
        <v>45009</v>
      </c>
      <c r="I21" s="8">
        <v>1000000</v>
      </c>
      <c r="J21" s="1">
        <v>44719</v>
      </c>
      <c r="K21" s="1">
        <v>44719</v>
      </c>
      <c r="L21" s="2">
        <v>74</v>
      </c>
      <c r="M21" s="9"/>
      <c r="N21" s="10" t="s">
        <v>168</v>
      </c>
      <c r="O21" s="92" t="s">
        <v>178</v>
      </c>
      <c r="P21" s="28" t="s">
        <v>179</v>
      </c>
      <c r="Q21" s="43" t="s">
        <v>180</v>
      </c>
      <c r="R21" s="93" t="s">
        <v>33</v>
      </c>
      <c r="S21" s="87"/>
      <c r="T21" s="94"/>
      <c r="U21" s="94"/>
      <c r="V21" s="11">
        <f t="shared" si="0"/>
        <v>74</v>
      </c>
      <c r="W21" s="11">
        <f t="shared" si="1"/>
        <v>0</v>
      </c>
      <c r="X21" s="38">
        <f t="shared" si="2"/>
        <v>3750</v>
      </c>
      <c r="Z21" s="76"/>
    </row>
    <row r="22" spans="1:26" s="11" customFormat="1" ht="22.15" customHeight="1" x14ac:dyDescent="0.25">
      <c r="A22" s="3">
        <v>10</v>
      </c>
      <c r="B22" s="4" t="s">
        <v>175</v>
      </c>
      <c r="C22" s="97"/>
      <c r="D22" s="6" t="s">
        <v>186</v>
      </c>
      <c r="E22" s="7" t="s">
        <v>187</v>
      </c>
      <c r="F22" s="1">
        <v>44783</v>
      </c>
      <c r="G22" s="8">
        <v>1000000</v>
      </c>
      <c r="H22" s="1">
        <v>45009</v>
      </c>
      <c r="I22" s="8">
        <v>1000000</v>
      </c>
      <c r="J22" s="1">
        <v>44917</v>
      </c>
      <c r="K22" s="1">
        <v>44917</v>
      </c>
      <c r="L22" s="2">
        <v>134</v>
      </c>
      <c r="M22" s="9"/>
      <c r="N22" s="10" t="s">
        <v>168</v>
      </c>
      <c r="O22" s="92" t="s">
        <v>178</v>
      </c>
      <c r="P22" s="28" t="s">
        <v>179</v>
      </c>
      <c r="Q22" s="43" t="s">
        <v>180</v>
      </c>
      <c r="R22" s="93" t="s">
        <v>33</v>
      </c>
      <c r="S22" s="87"/>
      <c r="T22" s="91"/>
      <c r="U22" s="98"/>
      <c r="V22" s="11">
        <f t="shared" si="0"/>
        <v>134</v>
      </c>
      <c r="W22" s="11">
        <f t="shared" si="1"/>
        <v>0</v>
      </c>
      <c r="X22" s="38">
        <f t="shared" si="2"/>
        <v>6791</v>
      </c>
      <c r="Z22" s="38"/>
    </row>
    <row r="23" spans="1:26" s="11" customFormat="1" ht="22.15" customHeight="1" x14ac:dyDescent="0.25">
      <c r="A23" s="3">
        <v>10</v>
      </c>
      <c r="B23" s="4" t="s">
        <v>175</v>
      </c>
      <c r="C23" s="97"/>
      <c r="D23" s="6" t="s">
        <v>186</v>
      </c>
      <c r="E23" s="7" t="s">
        <v>187</v>
      </c>
      <c r="F23" s="1">
        <v>44925</v>
      </c>
      <c r="G23" s="8">
        <v>1000000</v>
      </c>
      <c r="H23" s="1">
        <v>45009</v>
      </c>
      <c r="I23" s="1"/>
      <c r="J23" s="1"/>
      <c r="K23" s="1">
        <v>44927</v>
      </c>
      <c r="L23" s="2">
        <v>2</v>
      </c>
      <c r="M23" s="9"/>
      <c r="N23" s="10" t="s">
        <v>168</v>
      </c>
      <c r="O23" s="92" t="s">
        <v>178</v>
      </c>
      <c r="P23" s="28" t="s">
        <v>179</v>
      </c>
      <c r="Q23" s="43" t="s">
        <v>180</v>
      </c>
      <c r="R23" s="93" t="s">
        <v>33</v>
      </c>
      <c r="S23" s="87"/>
      <c r="T23" s="91"/>
      <c r="U23" s="91"/>
      <c r="V23" s="11">
        <f t="shared" si="0"/>
        <v>2</v>
      </c>
      <c r="W23" s="11">
        <f t="shared" si="1"/>
        <v>0</v>
      </c>
      <c r="X23" s="38">
        <f t="shared" si="2"/>
        <v>101</v>
      </c>
      <c r="Z23" s="38"/>
    </row>
    <row r="24" spans="1:26" s="11" customFormat="1" ht="22.15" customHeight="1" x14ac:dyDescent="0.25">
      <c r="A24" s="99">
        <v>11</v>
      </c>
      <c r="B24" s="4" t="s">
        <v>188</v>
      </c>
      <c r="C24" s="5"/>
      <c r="D24" s="6" t="s">
        <v>189</v>
      </c>
      <c r="E24" s="7" t="s">
        <v>190</v>
      </c>
      <c r="F24" s="1">
        <v>44790</v>
      </c>
      <c r="G24" s="8">
        <v>4800000</v>
      </c>
      <c r="H24" s="1">
        <v>45154</v>
      </c>
      <c r="I24" s="1"/>
      <c r="J24" s="1"/>
      <c r="K24" s="1">
        <v>44927</v>
      </c>
      <c r="L24" s="2">
        <v>137</v>
      </c>
      <c r="M24" s="9"/>
      <c r="N24" s="10" t="s">
        <v>168</v>
      </c>
      <c r="O24" s="92" t="s">
        <v>191</v>
      </c>
      <c r="P24" s="28" t="s">
        <v>192</v>
      </c>
      <c r="Q24" s="43" t="s">
        <v>193</v>
      </c>
      <c r="R24" s="93" t="s">
        <v>194</v>
      </c>
      <c r="S24" s="87"/>
      <c r="T24" s="91"/>
      <c r="U24" s="91"/>
      <c r="V24" s="11">
        <f t="shared" si="0"/>
        <v>137</v>
      </c>
      <c r="W24" s="11">
        <f t="shared" si="1"/>
        <v>0</v>
      </c>
      <c r="X24" s="38">
        <f t="shared" si="2"/>
        <v>33330</v>
      </c>
      <c r="Z24" s="38"/>
    </row>
    <row r="25" spans="1:26" s="11" customFormat="1" ht="22.15" customHeight="1" x14ac:dyDescent="0.25">
      <c r="A25" s="3">
        <v>11</v>
      </c>
      <c r="B25" s="4" t="s">
        <v>188</v>
      </c>
      <c r="C25" s="5"/>
      <c r="D25" s="6" t="s">
        <v>189</v>
      </c>
      <c r="E25" s="7" t="s">
        <v>190</v>
      </c>
      <c r="F25" s="1">
        <v>44790</v>
      </c>
      <c r="G25" s="8">
        <v>3500000</v>
      </c>
      <c r="H25" s="1">
        <v>45154</v>
      </c>
      <c r="I25" s="8"/>
      <c r="J25" s="1"/>
      <c r="K25" s="1">
        <v>44927</v>
      </c>
      <c r="L25" s="2">
        <v>137</v>
      </c>
      <c r="M25" s="9"/>
      <c r="N25" s="10" t="s">
        <v>168</v>
      </c>
      <c r="O25" s="92" t="s">
        <v>191</v>
      </c>
      <c r="P25" s="28" t="s">
        <v>192</v>
      </c>
      <c r="Q25" s="43" t="s">
        <v>193</v>
      </c>
      <c r="R25" s="93" t="s">
        <v>194</v>
      </c>
      <c r="S25" s="87"/>
      <c r="T25" s="94"/>
      <c r="U25" s="94"/>
      <c r="V25" s="11">
        <f t="shared" si="0"/>
        <v>137</v>
      </c>
      <c r="W25" s="11">
        <f t="shared" si="1"/>
        <v>0</v>
      </c>
      <c r="X25" s="38">
        <f t="shared" si="2"/>
        <v>24303</v>
      </c>
      <c r="Z25" s="38"/>
    </row>
    <row r="26" spans="1:26" s="11" customFormat="1" ht="22.15" customHeight="1" x14ac:dyDescent="0.25">
      <c r="A26" s="99">
        <v>11</v>
      </c>
      <c r="B26" s="4" t="s">
        <v>188</v>
      </c>
      <c r="C26" s="5"/>
      <c r="D26" s="6" t="s">
        <v>189</v>
      </c>
      <c r="E26" s="7" t="s">
        <v>190</v>
      </c>
      <c r="F26" s="1">
        <v>44790</v>
      </c>
      <c r="G26" s="8">
        <v>3500000</v>
      </c>
      <c r="H26" s="1">
        <v>45154</v>
      </c>
      <c r="I26" s="8"/>
      <c r="J26" s="1"/>
      <c r="K26" s="1">
        <v>44927</v>
      </c>
      <c r="L26" s="2">
        <v>137</v>
      </c>
      <c r="M26" s="9"/>
      <c r="N26" s="10" t="s">
        <v>168</v>
      </c>
      <c r="O26" s="92" t="s">
        <v>191</v>
      </c>
      <c r="P26" s="28" t="s">
        <v>192</v>
      </c>
      <c r="Q26" s="43" t="s">
        <v>193</v>
      </c>
      <c r="R26" s="93" t="s">
        <v>194</v>
      </c>
      <c r="S26" s="87"/>
      <c r="T26" s="94"/>
      <c r="U26" s="94"/>
      <c r="V26" s="11">
        <f t="shared" si="0"/>
        <v>137</v>
      </c>
      <c r="W26" s="11">
        <f t="shared" si="1"/>
        <v>0</v>
      </c>
      <c r="X26" s="38">
        <f t="shared" si="2"/>
        <v>24303</v>
      </c>
      <c r="Z26" s="38"/>
    </row>
    <row r="27" spans="1:26" s="11" customFormat="1" ht="22.15" customHeight="1" x14ac:dyDescent="0.25">
      <c r="A27" s="99">
        <v>11</v>
      </c>
      <c r="B27" s="4" t="s">
        <v>188</v>
      </c>
      <c r="C27" s="5"/>
      <c r="D27" s="6" t="s">
        <v>189</v>
      </c>
      <c r="E27" s="7" t="s">
        <v>190</v>
      </c>
      <c r="F27" s="1">
        <v>44790</v>
      </c>
      <c r="G27" s="8">
        <v>3500000</v>
      </c>
      <c r="H27" s="1">
        <v>45154</v>
      </c>
      <c r="I27" s="8"/>
      <c r="J27" s="1"/>
      <c r="K27" s="1">
        <v>44927</v>
      </c>
      <c r="L27" s="2">
        <v>137</v>
      </c>
      <c r="M27" s="9"/>
      <c r="N27" s="10" t="s">
        <v>168</v>
      </c>
      <c r="O27" s="92" t="s">
        <v>191</v>
      </c>
      <c r="P27" s="28" t="s">
        <v>192</v>
      </c>
      <c r="Q27" s="43" t="s">
        <v>193</v>
      </c>
      <c r="R27" s="93" t="s">
        <v>194</v>
      </c>
      <c r="S27" s="87"/>
      <c r="T27" s="94"/>
      <c r="U27" s="94"/>
      <c r="V27" s="11">
        <f t="shared" si="0"/>
        <v>137</v>
      </c>
      <c r="W27" s="11">
        <f t="shared" si="1"/>
        <v>0</v>
      </c>
      <c r="X27" s="38">
        <f t="shared" si="2"/>
        <v>24303</v>
      </c>
      <c r="Z27" s="38"/>
    </row>
    <row r="28" spans="1:26" s="11" customFormat="1" ht="22.15" customHeight="1" x14ac:dyDescent="0.25">
      <c r="A28" s="99">
        <v>11</v>
      </c>
      <c r="B28" s="4" t="s">
        <v>188</v>
      </c>
      <c r="C28" s="5"/>
      <c r="D28" s="6" t="s">
        <v>189</v>
      </c>
      <c r="E28" s="7" t="s">
        <v>190</v>
      </c>
      <c r="F28" s="1">
        <v>44788</v>
      </c>
      <c r="G28" s="8">
        <v>4700000</v>
      </c>
      <c r="H28" s="1">
        <v>45152</v>
      </c>
      <c r="I28" s="8"/>
      <c r="J28" s="1"/>
      <c r="K28" s="1">
        <v>44927</v>
      </c>
      <c r="L28" s="2">
        <v>139</v>
      </c>
      <c r="M28" s="9"/>
      <c r="N28" s="10" t="s">
        <v>168</v>
      </c>
      <c r="O28" s="92" t="s">
        <v>191</v>
      </c>
      <c r="P28" s="28" t="s">
        <v>192</v>
      </c>
      <c r="Q28" s="43" t="s">
        <v>193</v>
      </c>
      <c r="R28" s="93" t="s">
        <v>194</v>
      </c>
      <c r="S28" s="87"/>
      <c r="T28" s="94"/>
      <c r="U28" s="94"/>
      <c r="V28" s="11">
        <f t="shared" si="0"/>
        <v>139</v>
      </c>
      <c r="W28" s="11">
        <f t="shared" si="1"/>
        <v>0</v>
      </c>
      <c r="X28" s="38">
        <f t="shared" si="2"/>
        <v>33112</v>
      </c>
      <c r="Z28" s="38"/>
    </row>
    <row r="29" spans="1:26" s="11" customFormat="1" ht="22.15" customHeight="1" x14ac:dyDescent="0.25">
      <c r="A29" s="3">
        <v>12</v>
      </c>
      <c r="B29" s="4" t="s">
        <v>195</v>
      </c>
      <c r="C29" s="5"/>
      <c r="D29" s="100" t="s">
        <v>33</v>
      </c>
      <c r="E29" s="7" t="s">
        <v>196</v>
      </c>
      <c r="F29" s="1">
        <v>44789</v>
      </c>
      <c r="G29" s="8">
        <v>3000000</v>
      </c>
      <c r="H29" s="1">
        <v>45152</v>
      </c>
      <c r="I29" s="8"/>
      <c r="J29" s="1"/>
      <c r="K29" s="1">
        <v>44927</v>
      </c>
      <c r="L29" s="2">
        <v>138</v>
      </c>
      <c r="M29" s="9"/>
      <c r="N29" s="10" t="s">
        <v>168</v>
      </c>
      <c r="O29" s="92" t="s">
        <v>197</v>
      </c>
      <c r="P29" s="28" t="s">
        <v>198</v>
      </c>
      <c r="Q29" s="43" t="s">
        <v>199</v>
      </c>
      <c r="R29" s="93" t="s">
        <v>49</v>
      </c>
      <c r="S29" s="87"/>
      <c r="T29" s="94"/>
      <c r="U29" s="94"/>
      <c r="V29" s="11">
        <f t="shared" si="0"/>
        <v>138</v>
      </c>
      <c r="W29" s="11">
        <f t="shared" si="1"/>
        <v>0</v>
      </c>
      <c r="X29" s="38">
        <f t="shared" si="2"/>
        <v>20983</v>
      </c>
      <c r="Z29" s="38"/>
    </row>
    <row r="30" spans="1:26" s="11" customFormat="1" ht="22.15" customHeight="1" x14ac:dyDescent="0.25">
      <c r="A30" s="3">
        <v>12</v>
      </c>
      <c r="B30" s="4" t="s">
        <v>195</v>
      </c>
      <c r="C30" s="5"/>
      <c r="D30" s="6" t="s">
        <v>200</v>
      </c>
      <c r="E30" s="7" t="s">
        <v>201</v>
      </c>
      <c r="F30" s="1">
        <v>44823</v>
      </c>
      <c r="G30" s="8">
        <v>5000000</v>
      </c>
      <c r="H30" s="1">
        <v>45187</v>
      </c>
      <c r="I30" s="8"/>
      <c r="J30" s="1"/>
      <c r="K30" s="1">
        <v>44927</v>
      </c>
      <c r="L30" s="2">
        <v>104</v>
      </c>
      <c r="M30" s="9"/>
      <c r="N30" s="10" t="s">
        <v>168</v>
      </c>
      <c r="O30" s="92" t="s">
        <v>197</v>
      </c>
      <c r="P30" s="28" t="s">
        <v>198</v>
      </c>
      <c r="Q30" s="43" t="s">
        <v>199</v>
      </c>
      <c r="R30" s="93" t="s">
        <v>49</v>
      </c>
      <c r="S30" s="87"/>
      <c r="T30" s="94"/>
      <c r="U30" s="94"/>
      <c r="V30" s="11">
        <f t="shared" si="0"/>
        <v>104</v>
      </c>
      <c r="W30" s="11">
        <f t="shared" si="1"/>
        <v>0</v>
      </c>
      <c r="X30" s="38">
        <f t="shared" si="2"/>
        <v>26356</v>
      </c>
      <c r="Z30" s="38"/>
    </row>
    <row r="31" spans="1:26" s="11" customFormat="1" ht="22.15" customHeight="1" x14ac:dyDescent="0.25">
      <c r="A31" s="3">
        <v>12</v>
      </c>
      <c r="B31" s="4" t="s">
        <v>195</v>
      </c>
      <c r="C31" s="5"/>
      <c r="D31" s="6" t="s">
        <v>200</v>
      </c>
      <c r="E31" s="7" t="s">
        <v>201</v>
      </c>
      <c r="F31" s="1">
        <v>44848</v>
      </c>
      <c r="G31" s="8">
        <v>5000000</v>
      </c>
      <c r="H31" s="1">
        <v>45187</v>
      </c>
      <c r="I31" s="8"/>
      <c r="J31" s="1"/>
      <c r="K31" s="1">
        <v>44927</v>
      </c>
      <c r="L31" s="2">
        <v>79</v>
      </c>
      <c r="M31" s="9"/>
      <c r="N31" s="10" t="s">
        <v>168</v>
      </c>
      <c r="O31" s="92" t="s">
        <v>197</v>
      </c>
      <c r="P31" s="28" t="s">
        <v>198</v>
      </c>
      <c r="Q31" s="43" t="s">
        <v>199</v>
      </c>
      <c r="R31" s="93" t="s">
        <v>49</v>
      </c>
      <c r="S31" s="87"/>
      <c r="T31" s="94"/>
      <c r="U31" s="94"/>
      <c r="V31" s="11">
        <f t="shared" si="0"/>
        <v>79</v>
      </c>
      <c r="W31" s="11">
        <f t="shared" si="1"/>
        <v>0</v>
      </c>
      <c r="X31" s="38">
        <f t="shared" si="2"/>
        <v>20020</v>
      </c>
      <c r="Z31" s="38"/>
    </row>
    <row r="32" spans="1:26" s="11" customFormat="1" ht="22.15" customHeight="1" x14ac:dyDescent="0.25">
      <c r="A32" s="3">
        <v>13</v>
      </c>
      <c r="B32" s="4" t="s">
        <v>202</v>
      </c>
      <c r="C32" s="5"/>
      <c r="D32" s="6" t="s">
        <v>176</v>
      </c>
      <c r="E32" s="7" t="s">
        <v>203</v>
      </c>
      <c r="F32" s="1">
        <v>44676</v>
      </c>
      <c r="G32" s="8">
        <v>3000000</v>
      </c>
      <c r="H32" s="1">
        <v>44856</v>
      </c>
      <c r="I32" s="8">
        <v>3000000</v>
      </c>
      <c r="J32" s="1">
        <v>44847</v>
      </c>
      <c r="K32" s="1">
        <v>44847</v>
      </c>
      <c r="L32" s="2">
        <v>104</v>
      </c>
      <c r="M32" s="9"/>
      <c r="N32" s="10" t="s">
        <v>168</v>
      </c>
      <c r="O32" s="92" t="s">
        <v>204</v>
      </c>
      <c r="P32" s="28" t="s">
        <v>205</v>
      </c>
      <c r="Q32" s="43" t="s">
        <v>206</v>
      </c>
      <c r="R32" s="93" t="s">
        <v>207</v>
      </c>
      <c r="S32" s="87"/>
      <c r="T32" s="94" t="s">
        <v>173</v>
      </c>
      <c r="U32" s="94"/>
      <c r="V32" s="11">
        <f>K32-F32-67</f>
        <v>104</v>
      </c>
      <c r="W32" s="11">
        <f t="shared" si="1"/>
        <v>0</v>
      </c>
      <c r="X32" s="38">
        <f t="shared" si="2"/>
        <v>15813</v>
      </c>
      <c r="Z32" s="38"/>
    </row>
    <row r="33" spans="1:27" s="11" customFormat="1" ht="22.15" customHeight="1" x14ac:dyDescent="0.25">
      <c r="A33" s="3">
        <v>13</v>
      </c>
      <c r="B33" s="4" t="s">
        <v>202</v>
      </c>
      <c r="C33" s="5"/>
      <c r="D33" s="6" t="s">
        <v>176</v>
      </c>
      <c r="E33" s="7" t="s">
        <v>208</v>
      </c>
      <c r="F33" s="1">
        <v>44847</v>
      </c>
      <c r="G33" s="8">
        <v>3000000</v>
      </c>
      <c r="H33" s="1">
        <v>45027</v>
      </c>
      <c r="I33" s="8"/>
      <c r="J33" s="101"/>
      <c r="K33" s="1">
        <v>44927</v>
      </c>
      <c r="L33" s="2">
        <v>80</v>
      </c>
      <c r="M33" s="9"/>
      <c r="N33" s="10" t="s">
        <v>168</v>
      </c>
      <c r="O33" s="92" t="s">
        <v>204</v>
      </c>
      <c r="P33" s="28" t="s">
        <v>205</v>
      </c>
      <c r="Q33" s="43" t="s">
        <v>206</v>
      </c>
      <c r="R33" s="93" t="s">
        <v>207</v>
      </c>
      <c r="S33" s="87"/>
      <c r="T33" s="45"/>
      <c r="U33" s="94"/>
      <c r="V33" s="11">
        <f t="shared" si="0"/>
        <v>80</v>
      </c>
      <c r="W33" s="11">
        <f t="shared" si="1"/>
        <v>0</v>
      </c>
      <c r="X33" s="38">
        <f t="shared" si="2"/>
        <v>12164</v>
      </c>
      <c r="Z33" s="38"/>
    </row>
    <row r="34" spans="1:27" s="11" customFormat="1" ht="22.15" customHeight="1" x14ac:dyDescent="0.25">
      <c r="A34" s="3">
        <v>14</v>
      </c>
      <c r="B34" s="100" t="s">
        <v>209</v>
      </c>
      <c r="C34" s="5"/>
      <c r="D34" s="6" t="s">
        <v>33</v>
      </c>
      <c r="E34" s="102" t="s">
        <v>210</v>
      </c>
      <c r="F34" s="1">
        <v>44852</v>
      </c>
      <c r="G34" s="8">
        <v>4000000</v>
      </c>
      <c r="H34" s="1">
        <v>45215</v>
      </c>
      <c r="I34" s="8"/>
      <c r="J34" s="101"/>
      <c r="K34" s="1">
        <v>44927</v>
      </c>
      <c r="L34" s="2">
        <v>75</v>
      </c>
      <c r="M34" s="9"/>
      <c r="N34" s="10" t="s">
        <v>168</v>
      </c>
      <c r="O34" s="92" t="s">
        <v>211</v>
      </c>
      <c r="P34" s="28">
        <v>13706525384</v>
      </c>
      <c r="Q34" s="103" t="s">
        <v>212</v>
      </c>
      <c r="R34" s="93" t="s">
        <v>213</v>
      </c>
      <c r="S34" s="87"/>
      <c r="T34" s="45"/>
      <c r="U34" s="94"/>
      <c r="V34" s="11">
        <f t="shared" si="0"/>
        <v>75</v>
      </c>
      <c r="W34" s="11">
        <f t="shared" si="1"/>
        <v>0</v>
      </c>
      <c r="X34" s="38">
        <f t="shared" si="2"/>
        <v>15205</v>
      </c>
      <c r="Z34" s="38"/>
    </row>
    <row r="35" spans="1:27" s="11" customFormat="1" ht="22.15" customHeight="1" x14ac:dyDescent="0.25">
      <c r="A35" s="3">
        <v>15</v>
      </c>
      <c r="B35" s="4" t="s">
        <v>214</v>
      </c>
      <c r="C35" s="5"/>
      <c r="D35" s="6" t="s">
        <v>30</v>
      </c>
      <c r="E35" s="104" t="s">
        <v>215</v>
      </c>
      <c r="F35" s="1">
        <v>44847</v>
      </c>
      <c r="G35" s="8">
        <v>5000000</v>
      </c>
      <c r="H35" s="1">
        <v>45211</v>
      </c>
      <c r="I35" s="8"/>
      <c r="J35" s="1"/>
      <c r="K35" s="1">
        <v>44927</v>
      </c>
      <c r="L35" s="2">
        <v>80</v>
      </c>
      <c r="M35" s="9"/>
      <c r="N35" s="10" t="s">
        <v>168</v>
      </c>
      <c r="O35" s="92" t="s">
        <v>216</v>
      </c>
      <c r="P35" s="28">
        <v>18305088376</v>
      </c>
      <c r="Q35" s="43" t="s">
        <v>217</v>
      </c>
      <c r="R35" s="93" t="s">
        <v>218</v>
      </c>
      <c r="S35" s="87"/>
      <c r="T35" s="45"/>
      <c r="U35" s="94"/>
      <c r="V35" s="11">
        <f t="shared" si="0"/>
        <v>80</v>
      </c>
      <c r="W35" s="11">
        <f t="shared" si="1"/>
        <v>0</v>
      </c>
      <c r="X35" s="38">
        <f t="shared" si="2"/>
        <v>20273</v>
      </c>
      <c r="Z35" s="38"/>
    </row>
    <row r="36" spans="1:27" s="11" customFormat="1" ht="22.15" customHeight="1" x14ac:dyDescent="0.25">
      <c r="A36" s="3">
        <v>15</v>
      </c>
      <c r="B36" s="4" t="s">
        <v>214</v>
      </c>
      <c r="C36" s="5"/>
      <c r="D36" s="6" t="s">
        <v>30</v>
      </c>
      <c r="E36" s="7" t="s">
        <v>219</v>
      </c>
      <c r="F36" s="1">
        <v>44860</v>
      </c>
      <c r="G36" s="8">
        <v>5000000</v>
      </c>
      <c r="H36" s="1">
        <v>45224</v>
      </c>
      <c r="I36" s="8"/>
      <c r="J36" s="1"/>
      <c r="K36" s="1">
        <v>44927</v>
      </c>
      <c r="L36" s="2">
        <v>67</v>
      </c>
      <c r="M36" s="9"/>
      <c r="N36" s="10" t="s">
        <v>168</v>
      </c>
      <c r="O36" s="92" t="s">
        <v>216</v>
      </c>
      <c r="P36" s="28">
        <v>18305088376</v>
      </c>
      <c r="Q36" s="43" t="s">
        <v>217</v>
      </c>
      <c r="R36" s="93" t="s">
        <v>218</v>
      </c>
      <c r="S36" s="87"/>
      <c r="T36" s="45"/>
      <c r="U36" s="94"/>
      <c r="V36" s="11">
        <f t="shared" si="0"/>
        <v>67</v>
      </c>
      <c r="W36" s="11">
        <f t="shared" si="1"/>
        <v>0</v>
      </c>
      <c r="X36" s="38">
        <f t="shared" si="2"/>
        <v>16979</v>
      </c>
      <c r="Z36" s="38"/>
    </row>
    <row r="37" spans="1:27" s="11" customFormat="1" ht="22.15" customHeight="1" x14ac:dyDescent="0.25">
      <c r="A37" s="3">
        <v>15</v>
      </c>
      <c r="B37" s="4" t="s">
        <v>214</v>
      </c>
      <c r="C37" s="5"/>
      <c r="D37" s="6" t="s">
        <v>30</v>
      </c>
      <c r="E37" s="7" t="s">
        <v>220</v>
      </c>
      <c r="F37" s="1">
        <v>44823</v>
      </c>
      <c r="G37" s="8">
        <v>5000000</v>
      </c>
      <c r="H37" s="1">
        <v>45184</v>
      </c>
      <c r="I37" s="8"/>
      <c r="J37" s="1"/>
      <c r="K37" s="1">
        <v>44927</v>
      </c>
      <c r="L37" s="2">
        <v>104</v>
      </c>
      <c r="M37" s="9"/>
      <c r="N37" s="10" t="s">
        <v>168</v>
      </c>
      <c r="O37" s="92" t="s">
        <v>216</v>
      </c>
      <c r="P37" s="28">
        <v>18305088376</v>
      </c>
      <c r="Q37" s="43" t="s">
        <v>217</v>
      </c>
      <c r="R37" s="93" t="s">
        <v>218</v>
      </c>
      <c r="S37" s="87"/>
      <c r="T37" s="45"/>
      <c r="U37" s="94"/>
      <c r="V37" s="11">
        <f t="shared" si="0"/>
        <v>104</v>
      </c>
      <c r="W37" s="11">
        <f t="shared" si="1"/>
        <v>0</v>
      </c>
      <c r="X37" s="38">
        <f t="shared" si="2"/>
        <v>26356</v>
      </c>
      <c r="Z37" s="38"/>
    </row>
    <row r="38" spans="1:27" s="11" customFormat="1" ht="22.15" customHeight="1" x14ac:dyDescent="0.25">
      <c r="A38" s="3">
        <v>15</v>
      </c>
      <c r="B38" s="4" t="s">
        <v>214</v>
      </c>
      <c r="C38" s="5"/>
      <c r="D38" s="6" t="s">
        <v>30</v>
      </c>
      <c r="E38" s="7" t="s">
        <v>221</v>
      </c>
      <c r="F38" s="1">
        <v>44875</v>
      </c>
      <c r="G38" s="8">
        <v>10000000</v>
      </c>
      <c r="H38" s="1">
        <v>45239</v>
      </c>
      <c r="I38" s="8"/>
      <c r="J38" s="1"/>
      <c r="K38" s="1">
        <v>44927</v>
      </c>
      <c r="L38" s="2">
        <v>52</v>
      </c>
      <c r="M38" s="9"/>
      <c r="N38" s="10" t="s">
        <v>168</v>
      </c>
      <c r="O38" s="92" t="s">
        <v>216</v>
      </c>
      <c r="P38" s="28">
        <v>18305088376</v>
      </c>
      <c r="Q38" s="43" t="s">
        <v>217</v>
      </c>
      <c r="R38" s="93" t="s">
        <v>218</v>
      </c>
      <c r="S38" s="87"/>
      <c r="T38" s="45"/>
      <c r="U38" s="94"/>
      <c r="V38" s="11">
        <f t="shared" si="0"/>
        <v>52</v>
      </c>
      <c r="W38" s="11">
        <f t="shared" si="1"/>
        <v>0</v>
      </c>
      <c r="X38" s="38">
        <f t="shared" si="2"/>
        <v>26356</v>
      </c>
      <c r="Z38" s="38"/>
    </row>
    <row r="39" spans="1:27" s="11" customFormat="1" ht="21" customHeight="1" x14ac:dyDescent="0.25">
      <c r="A39" s="3">
        <v>16</v>
      </c>
      <c r="B39" s="4" t="s">
        <v>222</v>
      </c>
      <c r="C39" s="5"/>
      <c r="D39" s="105" t="s">
        <v>282</v>
      </c>
      <c r="E39" s="106" t="s">
        <v>223</v>
      </c>
      <c r="F39" s="1">
        <v>44728</v>
      </c>
      <c r="G39" s="8">
        <v>30000000</v>
      </c>
      <c r="H39" s="1">
        <v>44911</v>
      </c>
      <c r="I39" s="8"/>
      <c r="J39" s="1"/>
      <c r="K39" s="1">
        <v>44927</v>
      </c>
      <c r="L39" s="2">
        <v>184</v>
      </c>
      <c r="M39" s="9"/>
      <c r="N39" s="10"/>
      <c r="O39" s="26" t="s">
        <v>283</v>
      </c>
      <c r="P39" s="28">
        <v>18805712399</v>
      </c>
      <c r="Q39" s="43" t="s">
        <v>284</v>
      </c>
      <c r="R39" s="31" t="s">
        <v>285</v>
      </c>
      <c r="S39" s="87"/>
      <c r="T39" s="87" t="s">
        <v>286</v>
      </c>
      <c r="U39" s="87"/>
      <c r="V39" s="11">
        <f>K39-F39-15</f>
        <v>184</v>
      </c>
      <c r="W39" s="11">
        <f t="shared" si="1"/>
        <v>0</v>
      </c>
      <c r="X39" s="38">
        <f t="shared" si="2"/>
        <v>279780</v>
      </c>
      <c r="Z39" s="38"/>
    </row>
    <row r="40" spans="1:27" s="11" customFormat="1" ht="22.15" customHeight="1" x14ac:dyDescent="0.25">
      <c r="A40" s="3">
        <v>16</v>
      </c>
      <c r="B40" s="4" t="s">
        <v>222</v>
      </c>
      <c r="C40" s="5"/>
      <c r="D40" s="100" t="s">
        <v>176</v>
      </c>
      <c r="E40" s="100" t="s">
        <v>224</v>
      </c>
      <c r="F40" s="1">
        <v>44769</v>
      </c>
      <c r="G40" s="8">
        <v>30000000</v>
      </c>
      <c r="H40" s="1">
        <v>45121</v>
      </c>
      <c r="I40" s="8"/>
      <c r="J40" s="1"/>
      <c r="K40" s="1">
        <v>44927</v>
      </c>
      <c r="L40" s="2">
        <v>158</v>
      </c>
      <c r="M40" s="9"/>
      <c r="N40" s="10"/>
      <c r="O40" s="26" t="s">
        <v>283</v>
      </c>
      <c r="P40" s="28">
        <v>18805712399</v>
      </c>
      <c r="Q40" s="43" t="s">
        <v>284</v>
      </c>
      <c r="R40" s="31" t="s">
        <v>285</v>
      </c>
      <c r="S40" s="87"/>
      <c r="T40" s="78"/>
      <c r="U40" s="87"/>
      <c r="V40" s="11">
        <f t="shared" si="0"/>
        <v>158</v>
      </c>
      <c r="W40" s="11">
        <f t="shared" si="1"/>
        <v>0</v>
      </c>
      <c r="X40" s="38">
        <f>INT(G40*(V40/365)*3.6%*50%)</f>
        <v>233753</v>
      </c>
      <c r="Y40" s="45">
        <v>3.5999999999999997E-2</v>
      </c>
      <c r="Z40" s="78"/>
    </row>
    <row r="41" spans="1:27" s="11" customFormat="1" ht="22.15" customHeight="1" x14ac:dyDescent="0.25">
      <c r="A41" s="3">
        <v>17</v>
      </c>
      <c r="B41" s="4" t="s">
        <v>287</v>
      </c>
      <c r="C41" s="5"/>
      <c r="D41" s="6" t="s">
        <v>288</v>
      </c>
      <c r="E41" s="7" t="s">
        <v>289</v>
      </c>
      <c r="F41" s="1">
        <v>44756</v>
      </c>
      <c r="G41" s="8">
        <v>4300000</v>
      </c>
      <c r="H41" s="1">
        <v>45120</v>
      </c>
      <c r="I41" s="8"/>
      <c r="J41" s="1"/>
      <c r="K41" s="1">
        <v>44927</v>
      </c>
      <c r="L41" s="2">
        <v>171</v>
      </c>
      <c r="M41" s="9"/>
      <c r="N41" s="10" t="s">
        <v>290</v>
      </c>
      <c r="O41" s="26" t="s">
        <v>291</v>
      </c>
      <c r="P41" s="28" t="s">
        <v>292</v>
      </c>
      <c r="Q41" s="43" t="s">
        <v>293</v>
      </c>
      <c r="R41" s="31" t="s">
        <v>288</v>
      </c>
      <c r="S41" s="87"/>
      <c r="T41" s="87"/>
      <c r="U41" s="87"/>
      <c r="V41" s="11">
        <f>K41-F41</f>
        <v>171</v>
      </c>
      <c r="W41" s="11">
        <f t="shared" si="1"/>
        <v>0</v>
      </c>
      <c r="X41" s="38">
        <f t="shared" si="2"/>
        <v>37268</v>
      </c>
      <c r="Y41" s="38"/>
      <c r="AA41" s="38"/>
    </row>
    <row r="42" spans="1:27" s="121" customFormat="1" ht="22.15" customHeight="1" x14ac:dyDescent="0.25">
      <c r="A42" s="107">
        <v>17</v>
      </c>
      <c r="B42" s="108" t="s">
        <v>225</v>
      </c>
      <c r="C42" s="109"/>
      <c r="D42" s="110" t="s">
        <v>294</v>
      </c>
      <c r="E42" s="111" t="s">
        <v>295</v>
      </c>
      <c r="F42" s="112">
        <v>44615</v>
      </c>
      <c r="G42" s="113">
        <v>3000000</v>
      </c>
      <c r="H42" s="112">
        <v>44978</v>
      </c>
      <c r="I42" s="113"/>
      <c r="J42" s="112"/>
      <c r="K42" s="112">
        <v>44927</v>
      </c>
      <c r="L42" s="2">
        <v>184</v>
      </c>
      <c r="M42" s="114"/>
      <c r="N42" s="115" t="s">
        <v>168</v>
      </c>
      <c r="O42" s="116" t="s">
        <v>226</v>
      </c>
      <c r="P42" s="117" t="s">
        <v>227</v>
      </c>
      <c r="Q42" s="118" t="s">
        <v>228</v>
      </c>
      <c r="R42" s="119" t="s">
        <v>229</v>
      </c>
      <c r="S42" s="87"/>
      <c r="T42" s="120" t="s">
        <v>296</v>
      </c>
      <c r="U42" s="120"/>
      <c r="V42" s="11">
        <f>K42-F42-128</f>
        <v>184</v>
      </c>
      <c r="W42" s="11">
        <f t="shared" si="1"/>
        <v>0</v>
      </c>
      <c r="X42" s="38">
        <f t="shared" si="2"/>
        <v>27978</v>
      </c>
      <c r="Y42" s="81"/>
      <c r="AA42" s="81"/>
    </row>
    <row r="43" spans="1:27" s="11" customFormat="1" x14ac:dyDescent="0.25">
      <c r="A43" s="3">
        <v>17</v>
      </c>
      <c r="B43" s="4" t="s">
        <v>225</v>
      </c>
      <c r="C43" s="5"/>
      <c r="D43" s="6" t="s">
        <v>281</v>
      </c>
      <c r="E43" s="7" t="s">
        <v>297</v>
      </c>
      <c r="F43" s="1">
        <v>44628</v>
      </c>
      <c r="G43" s="8">
        <v>3000000</v>
      </c>
      <c r="H43" s="1">
        <v>44992</v>
      </c>
      <c r="I43" s="8">
        <v>3000000</v>
      </c>
      <c r="J43" s="1">
        <v>44918</v>
      </c>
      <c r="K43" s="1">
        <v>44918</v>
      </c>
      <c r="L43" s="2">
        <v>175</v>
      </c>
      <c r="M43" s="9"/>
      <c r="N43" s="10" t="s">
        <v>168</v>
      </c>
      <c r="O43" s="26" t="s">
        <v>226</v>
      </c>
      <c r="P43" s="28" t="s">
        <v>227</v>
      </c>
      <c r="Q43" s="43" t="s">
        <v>228</v>
      </c>
      <c r="R43" s="31" t="s">
        <v>229</v>
      </c>
      <c r="S43" s="87"/>
      <c r="T43" s="87"/>
      <c r="U43" s="87"/>
      <c r="V43" s="11">
        <f>K43-F43-115</f>
        <v>175</v>
      </c>
      <c r="W43" s="11">
        <f t="shared" si="1"/>
        <v>0</v>
      </c>
      <c r="X43" s="38">
        <f t="shared" si="2"/>
        <v>26609</v>
      </c>
      <c r="Y43" s="38"/>
      <c r="AA43" s="38"/>
    </row>
    <row r="44" spans="1:27" s="129" customFormat="1" ht="26.25" customHeight="1" x14ac:dyDescent="0.25">
      <c r="A44" s="99">
        <v>18</v>
      </c>
      <c r="B44" s="32" t="s">
        <v>298</v>
      </c>
      <c r="C44" s="97"/>
      <c r="D44" s="122" t="s">
        <v>299</v>
      </c>
      <c r="E44" s="33" t="s">
        <v>300</v>
      </c>
      <c r="F44" s="34">
        <v>44736</v>
      </c>
      <c r="G44" s="123">
        <v>10000000</v>
      </c>
      <c r="H44" s="34">
        <v>45097</v>
      </c>
      <c r="I44" s="123"/>
      <c r="J44" s="34"/>
      <c r="K44" s="34">
        <v>44927</v>
      </c>
      <c r="L44" s="2">
        <v>191</v>
      </c>
      <c r="M44" s="124"/>
      <c r="N44" s="125" t="s">
        <v>290</v>
      </c>
      <c r="O44" s="126" t="s">
        <v>301</v>
      </c>
      <c r="P44" s="88" t="s">
        <v>302</v>
      </c>
      <c r="Q44" s="127" t="s">
        <v>303</v>
      </c>
      <c r="R44" s="128" t="s">
        <v>299</v>
      </c>
      <c r="S44" s="87"/>
      <c r="T44" s="89"/>
      <c r="U44" s="89"/>
      <c r="V44" s="11">
        <f t="shared" si="0"/>
        <v>191</v>
      </c>
      <c r="W44" s="11">
        <f t="shared" si="1"/>
        <v>0</v>
      </c>
      <c r="X44" s="38">
        <f>INT(G44*(V44/365)*3.6%*50%)</f>
        <v>94191</v>
      </c>
      <c r="Y44" s="45">
        <v>3.5999999999999997E-2</v>
      </c>
      <c r="Z44" s="78"/>
      <c r="AA44" s="80"/>
    </row>
    <row r="45" spans="1:27" s="11" customFormat="1" ht="28" x14ac:dyDescent="0.25">
      <c r="A45" s="3">
        <v>19</v>
      </c>
      <c r="B45" s="4" t="s">
        <v>304</v>
      </c>
      <c r="C45" s="5"/>
      <c r="D45" s="6" t="s">
        <v>305</v>
      </c>
      <c r="E45" s="7" t="s">
        <v>306</v>
      </c>
      <c r="F45" s="1">
        <v>44739</v>
      </c>
      <c r="G45" s="8">
        <v>8000000</v>
      </c>
      <c r="H45" s="1">
        <v>45102</v>
      </c>
      <c r="I45" s="8"/>
      <c r="J45" s="1"/>
      <c r="K45" s="1">
        <v>44927</v>
      </c>
      <c r="L45" s="2">
        <v>188</v>
      </c>
      <c r="M45" s="9"/>
      <c r="N45" s="10" t="s">
        <v>290</v>
      </c>
      <c r="O45" s="26" t="s">
        <v>307</v>
      </c>
      <c r="P45" s="28" t="s">
        <v>308</v>
      </c>
      <c r="Q45" s="43" t="s">
        <v>309</v>
      </c>
      <c r="R45" s="31" t="s">
        <v>305</v>
      </c>
      <c r="S45" s="87"/>
      <c r="T45" s="87"/>
      <c r="U45" s="87"/>
      <c r="V45" s="11">
        <f t="shared" si="0"/>
        <v>188</v>
      </c>
      <c r="W45" s="11">
        <f t="shared" si="1"/>
        <v>0</v>
      </c>
      <c r="X45" s="38">
        <f t="shared" si="2"/>
        <v>76230</v>
      </c>
      <c r="Y45" s="38"/>
      <c r="AA45" s="38"/>
    </row>
    <row r="46" spans="1:27" s="11" customFormat="1" ht="28" x14ac:dyDescent="0.25">
      <c r="A46" s="3">
        <v>20</v>
      </c>
      <c r="B46" s="4" t="s">
        <v>310</v>
      </c>
      <c r="C46" s="5"/>
      <c r="D46" s="6" t="s">
        <v>311</v>
      </c>
      <c r="E46" s="7" t="s">
        <v>312</v>
      </c>
      <c r="F46" s="1">
        <v>44735</v>
      </c>
      <c r="G46" s="8">
        <v>5000000</v>
      </c>
      <c r="H46" s="1">
        <v>45099</v>
      </c>
      <c r="I46" s="8"/>
      <c r="J46" s="1"/>
      <c r="K46" s="1">
        <v>44927</v>
      </c>
      <c r="L46" s="2">
        <v>192</v>
      </c>
      <c r="M46" s="9"/>
      <c r="N46" s="10" t="s">
        <v>290</v>
      </c>
      <c r="O46" s="26" t="s">
        <v>313</v>
      </c>
      <c r="P46" s="28" t="s">
        <v>314</v>
      </c>
      <c r="Q46" s="43" t="s">
        <v>315</v>
      </c>
      <c r="R46" s="31" t="s">
        <v>311</v>
      </c>
      <c r="S46" s="87"/>
      <c r="T46" s="87"/>
      <c r="U46" s="87"/>
      <c r="V46" s="11">
        <f t="shared" si="0"/>
        <v>192</v>
      </c>
      <c r="W46" s="11">
        <f t="shared" si="1"/>
        <v>0</v>
      </c>
      <c r="X46" s="38">
        <f t="shared" si="2"/>
        <v>48657</v>
      </c>
      <c r="Y46" s="38"/>
      <c r="AA46" s="38"/>
    </row>
    <row r="47" spans="1:27" s="11" customFormat="1" ht="22.15" customHeight="1" x14ac:dyDescent="0.25">
      <c r="A47" s="3">
        <v>21</v>
      </c>
      <c r="B47" s="4" t="s">
        <v>316</v>
      </c>
      <c r="C47" s="5"/>
      <c r="D47" s="6" t="s">
        <v>317</v>
      </c>
      <c r="E47" s="7" t="s">
        <v>318</v>
      </c>
      <c r="F47" s="1">
        <v>44853</v>
      </c>
      <c r="G47" s="8">
        <v>3942415</v>
      </c>
      <c r="H47" s="1">
        <v>45217</v>
      </c>
      <c r="I47" s="8"/>
      <c r="J47" s="1"/>
      <c r="K47" s="1">
        <v>44927</v>
      </c>
      <c r="L47" s="2">
        <v>74</v>
      </c>
      <c r="M47" s="9"/>
      <c r="N47" s="10" t="s">
        <v>290</v>
      </c>
      <c r="O47" s="26" t="s">
        <v>319</v>
      </c>
      <c r="P47" s="28" t="s">
        <v>320</v>
      </c>
      <c r="Q47" s="43" t="s">
        <v>321</v>
      </c>
      <c r="R47" s="31" t="s">
        <v>322</v>
      </c>
      <c r="S47" s="87"/>
      <c r="T47" s="87"/>
      <c r="U47" s="87"/>
      <c r="V47" s="11">
        <f t="shared" si="0"/>
        <v>74</v>
      </c>
      <c r="W47" s="11">
        <f t="shared" si="1"/>
        <v>0</v>
      </c>
      <c r="X47" s="38">
        <f t="shared" si="2"/>
        <v>14786</v>
      </c>
      <c r="Y47" s="38"/>
      <c r="AA47" s="38"/>
    </row>
    <row r="48" spans="1:27" s="11" customFormat="1" ht="22.15" customHeight="1" x14ac:dyDescent="0.25">
      <c r="A48" s="3">
        <v>21</v>
      </c>
      <c r="B48" s="4" t="s">
        <v>230</v>
      </c>
      <c r="C48" s="5"/>
      <c r="D48" s="6" t="s">
        <v>231</v>
      </c>
      <c r="E48" s="7" t="s">
        <v>323</v>
      </c>
      <c r="F48" s="1">
        <v>44902</v>
      </c>
      <c r="G48" s="8">
        <v>1057587</v>
      </c>
      <c r="H48" s="1">
        <v>45266</v>
      </c>
      <c r="I48" s="8"/>
      <c r="J48" s="1"/>
      <c r="K48" s="1">
        <v>44927</v>
      </c>
      <c r="L48" s="2">
        <v>25</v>
      </c>
      <c r="M48" s="9"/>
      <c r="N48" s="10" t="s">
        <v>168</v>
      </c>
      <c r="O48" s="26" t="s">
        <v>232</v>
      </c>
      <c r="P48" s="28" t="s">
        <v>233</v>
      </c>
      <c r="Q48" s="43" t="s">
        <v>234</v>
      </c>
      <c r="R48" s="31" t="s">
        <v>235</v>
      </c>
      <c r="S48" s="87"/>
      <c r="T48" s="87"/>
      <c r="U48" s="87"/>
      <c r="V48" s="11">
        <f t="shared" si="0"/>
        <v>25</v>
      </c>
      <c r="W48" s="11">
        <f t="shared" si="1"/>
        <v>0</v>
      </c>
      <c r="X48" s="38">
        <f t="shared" si="2"/>
        <v>1340</v>
      </c>
      <c r="Y48" s="38"/>
      <c r="AA48" s="38"/>
    </row>
    <row r="49" spans="1:27" s="11" customFormat="1" ht="28" x14ac:dyDescent="0.25">
      <c r="A49" s="3">
        <v>22</v>
      </c>
      <c r="B49" s="4" t="s">
        <v>324</v>
      </c>
      <c r="C49" s="5"/>
      <c r="D49" s="6" t="s">
        <v>237</v>
      </c>
      <c r="E49" s="7" t="s">
        <v>325</v>
      </c>
      <c r="F49" s="1">
        <v>44777</v>
      </c>
      <c r="G49" s="8">
        <v>6000000</v>
      </c>
      <c r="H49" s="1">
        <v>45140</v>
      </c>
      <c r="I49" s="8"/>
      <c r="J49" s="1"/>
      <c r="K49" s="1">
        <v>44927</v>
      </c>
      <c r="L49" s="2">
        <v>150</v>
      </c>
      <c r="M49" s="9"/>
      <c r="N49" s="10" t="s">
        <v>290</v>
      </c>
      <c r="O49" s="26" t="s">
        <v>326</v>
      </c>
      <c r="P49" s="28" t="s">
        <v>327</v>
      </c>
      <c r="Q49" s="43" t="s">
        <v>328</v>
      </c>
      <c r="R49" s="31" t="s">
        <v>294</v>
      </c>
      <c r="S49" s="87"/>
      <c r="T49" s="87"/>
      <c r="U49" s="87"/>
      <c r="V49" s="11">
        <f t="shared" si="0"/>
        <v>150</v>
      </c>
      <c r="W49" s="11">
        <f t="shared" si="1"/>
        <v>0</v>
      </c>
      <c r="X49" s="38">
        <f t="shared" si="2"/>
        <v>45616</v>
      </c>
      <c r="Y49" s="38"/>
      <c r="AA49" s="38"/>
    </row>
    <row r="50" spans="1:27" s="129" customFormat="1" ht="22.15" customHeight="1" x14ac:dyDescent="0.25">
      <c r="A50" s="99">
        <v>23</v>
      </c>
      <c r="B50" s="32" t="s">
        <v>329</v>
      </c>
      <c r="C50" s="97"/>
      <c r="D50" s="122" t="s">
        <v>330</v>
      </c>
      <c r="E50" s="33" t="s">
        <v>331</v>
      </c>
      <c r="F50" s="34">
        <v>44827</v>
      </c>
      <c r="G50" s="123">
        <v>10000000</v>
      </c>
      <c r="H50" s="34">
        <v>45187</v>
      </c>
      <c r="I50" s="123"/>
      <c r="J50" s="34"/>
      <c r="K50" s="34">
        <v>44927</v>
      </c>
      <c r="L50" s="2">
        <v>100</v>
      </c>
      <c r="M50" s="124"/>
      <c r="N50" s="125" t="s">
        <v>290</v>
      </c>
      <c r="O50" s="126" t="s">
        <v>332</v>
      </c>
      <c r="P50" s="88" t="s">
        <v>333</v>
      </c>
      <c r="Q50" s="127" t="s">
        <v>334</v>
      </c>
      <c r="R50" s="128" t="s">
        <v>335</v>
      </c>
      <c r="S50" s="87"/>
      <c r="T50" s="89"/>
      <c r="U50" s="89"/>
      <c r="V50" s="11">
        <f t="shared" si="0"/>
        <v>100</v>
      </c>
      <c r="W50" s="11">
        <f t="shared" si="1"/>
        <v>0</v>
      </c>
      <c r="X50" s="38">
        <f>INT(G50*(V50/365)*3.5%*50%)</f>
        <v>47945</v>
      </c>
      <c r="Y50" s="89" t="s">
        <v>336</v>
      </c>
      <c r="AA50" s="80"/>
    </row>
    <row r="51" spans="1:27" s="121" customFormat="1" ht="28" x14ac:dyDescent="0.25">
      <c r="A51" s="107">
        <v>24</v>
      </c>
      <c r="B51" s="108" t="s">
        <v>337</v>
      </c>
      <c r="C51" s="109"/>
      <c r="D51" s="110" t="s">
        <v>338</v>
      </c>
      <c r="E51" s="111" t="s">
        <v>339</v>
      </c>
      <c r="F51" s="112">
        <v>44740</v>
      </c>
      <c r="G51" s="113">
        <v>10000000</v>
      </c>
      <c r="H51" s="112">
        <v>45097</v>
      </c>
      <c r="I51" s="113"/>
      <c r="J51" s="112"/>
      <c r="K51" s="112">
        <v>44927</v>
      </c>
      <c r="L51" s="2">
        <v>187</v>
      </c>
      <c r="M51" s="114"/>
      <c r="N51" s="115" t="s">
        <v>290</v>
      </c>
      <c r="O51" s="116" t="s">
        <v>340</v>
      </c>
      <c r="P51" s="117" t="s">
        <v>341</v>
      </c>
      <c r="Q51" s="118" t="s">
        <v>342</v>
      </c>
      <c r="R51" s="119" t="s">
        <v>338</v>
      </c>
      <c r="S51" s="87"/>
      <c r="T51" s="120"/>
      <c r="U51" s="130"/>
      <c r="V51" s="11">
        <f t="shared" si="0"/>
        <v>187</v>
      </c>
      <c r="W51" s="11">
        <f t="shared" si="1"/>
        <v>0</v>
      </c>
      <c r="X51" s="38">
        <f t="shared" si="2"/>
        <v>94780</v>
      </c>
      <c r="Y51" s="81"/>
      <c r="AA51" s="81"/>
    </row>
    <row r="52" spans="1:27" s="11" customFormat="1" ht="22.15" customHeight="1" x14ac:dyDescent="0.25">
      <c r="A52" s="3">
        <v>25</v>
      </c>
      <c r="B52" s="4" t="s">
        <v>343</v>
      </c>
      <c r="C52" s="5"/>
      <c r="D52" s="6" t="s">
        <v>338</v>
      </c>
      <c r="E52" s="7" t="s">
        <v>344</v>
      </c>
      <c r="F52" s="1">
        <v>44806</v>
      </c>
      <c r="G52" s="8">
        <v>6000000</v>
      </c>
      <c r="H52" s="1">
        <v>45158</v>
      </c>
      <c r="I52" s="8"/>
      <c r="J52" s="1"/>
      <c r="K52" s="1">
        <v>44927</v>
      </c>
      <c r="L52" s="2">
        <v>121</v>
      </c>
      <c r="M52" s="9"/>
      <c r="N52" s="10"/>
      <c r="O52" s="26" t="s">
        <v>345</v>
      </c>
      <c r="P52" s="28" t="s">
        <v>346</v>
      </c>
      <c r="Q52" s="43" t="s">
        <v>347</v>
      </c>
      <c r="R52" s="31" t="s">
        <v>338</v>
      </c>
      <c r="S52" s="87"/>
      <c r="T52" s="87"/>
      <c r="U52" s="87"/>
      <c r="V52" s="11">
        <f t="shared" si="0"/>
        <v>121</v>
      </c>
      <c r="W52" s="11">
        <f>L52-V52</f>
        <v>0</v>
      </c>
      <c r="X52" s="38">
        <f t="shared" si="2"/>
        <v>36797</v>
      </c>
      <c r="Z52" s="38"/>
    </row>
    <row r="53" spans="1:27" s="11" customFormat="1" ht="22.15" customHeight="1" x14ac:dyDescent="0.25">
      <c r="A53" s="3">
        <v>26</v>
      </c>
      <c r="B53" s="4" t="s">
        <v>348</v>
      </c>
      <c r="C53" s="5"/>
      <c r="D53" s="6" t="s">
        <v>349</v>
      </c>
      <c r="E53" s="7" t="s">
        <v>350</v>
      </c>
      <c r="F53" s="1">
        <v>44732</v>
      </c>
      <c r="G53" s="8">
        <v>5000000</v>
      </c>
      <c r="H53" s="1">
        <v>45092</v>
      </c>
      <c r="I53" s="8"/>
      <c r="J53" s="1"/>
      <c r="K53" s="1">
        <v>44927</v>
      </c>
      <c r="L53" s="2">
        <v>184</v>
      </c>
      <c r="M53" s="9"/>
      <c r="N53" s="10"/>
      <c r="O53" s="26" t="s">
        <v>351</v>
      </c>
      <c r="P53" s="28" t="s">
        <v>352</v>
      </c>
      <c r="Q53" s="43" t="s">
        <v>353</v>
      </c>
      <c r="R53" s="31" t="s">
        <v>354</v>
      </c>
      <c r="S53" s="87"/>
      <c r="T53" s="87"/>
      <c r="U53" s="87"/>
      <c r="V53" s="11">
        <f>K53-F53-11</f>
        <v>184</v>
      </c>
      <c r="W53" s="11">
        <f t="shared" ref="W53:W58" si="3">L53-V53</f>
        <v>0</v>
      </c>
      <c r="X53" s="38">
        <f t="shared" si="2"/>
        <v>46630</v>
      </c>
      <c r="Z53" s="38"/>
    </row>
    <row r="54" spans="1:27" s="11" customFormat="1" ht="28" x14ac:dyDescent="0.25">
      <c r="A54" s="3">
        <v>26</v>
      </c>
      <c r="B54" s="4" t="s">
        <v>348</v>
      </c>
      <c r="C54" s="5"/>
      <c r="D54" s="6" t="s">
        <v>311</v>
      </c>
      <c r="E54" s="7" t="s">
        <v>355</v>
      </c>
      <c r="F54" s="1">
        <v>44757</v>
      </c>
      <c r="G54" s="8">
        <v>5000000</v>
      </c>
      <c r="H54" s="1">
        <v>45121</v>
      </c>
      <c r="I54" s="8"/>
      <c r="J54" s="1"/>
      <c r="K54" s="1">
        <v>44927</v>
      </c>
      <c r="L54" s="2">
        <v>170</v>
      </c>
      <c r="M54" s="9"/>
      <c r="N54" s="10"/>
      <c r="O54" s="26" t="s">
        <v>351</v>
      </c>
      <c r="P54" s="28" t="s">
        <v>352</v>
      </c>
      <c r="Q54" s="43" t="s">
        <v>353</v>
      </c>
      <c r="R54" s="31" t="s">
        <v>354</v>
      </c>
      <c r="S54" s="87"/>
      <c r="T54" s="87"/>
      <c r="U54" s="87"/>
      <c r="V54" s="11">
        <f t="shared" si="0"/>
        <v>170</v>
      </c>
      <c r="W54" s="11">
        <f t="shared" si="3"/>
        <v>0</v>
      </c>
      <c r="X54" s="38">
        <f t="shared" si="2"/>
        <v>43082</v>
      </c>
      <c r="Z54" s="38"/>
    </row>
    <row r="55" spans="1:27" s="11" customFormat="1" ht="22.15" customHeight="1" x14ac:dyDescent="0.25">
      <c r="A55" s="3">
        <v>27</v>
      </c>
      <c r="B55" s="4" t="s">
        <v>356</v>
      </c>
      <c r="C55" s="5"/>
      <c r="D55" s="31" t="s">
        <v>357</v>
      </c>
      <c r="E55" s="7" t="s">
        <v>358</v>
      </c>
      <c r="F55" s="1">
        <v>44757</v>
      </c>
      <c r="G55" s="8">
        <v>5000000</v>
      </c>
      <c r="H55" s="1">
        <v>45120</v>
      </c>
      <c r="I55" s="8"/>
      <c r="J55" s="1"/>
      <c r="K55" s="1">
        <v>44927</v>
      </c>
      <c r="L55" s="2">
        <v>170</v>
      </c>
      <c r="M55" s="9"/>
      <c r="N55" s="10"/>
      <c r="O55" s="26" t="s">
        <v>359</v>
      </c>
      <c r="P55" s="28" t="s">
        <v>360</v>
      </c>
      <c r="Q55" s="43" t="s">
        <v>361</v>
      </c>
      <c r="R55" s="31" t="s">
        <v>357</v>
      </c>
      <c r="S55" s="87"/>
      <c r="T55" s="87"/>
      <c r="U55" s="87"/>
      <c r="V55" s="11">
        <f t="shared" si="0"/>
        <v>170</v>
      </c>
      <c r="W55" s="11">
        <f t="shared" si="3"/>
        <v>0</v>
      </c>
      <c r="X55" s="38">
        <f t="shared" si="2"/>
        <v>43082</v>
      </c>
      <c r="Z55" s="38"/>
    </row>
    <row r="56" spans="1:27" s="11" customFormat="1" ht="22.15" customHeight="1" x14ac:dyDescent="0.25">
      <c r="A56" s="3">
        <v>28</v>
      </c>
      <c r="B56" s="4" t="s">
        <v>362</v>
      </c>
      <c r="C56" s="5"/>
      <c r="D56" s="6" t="s">
        <v>349</v>
      </c>
      <c r="E56" s="7" t="s">
        <v>363</v>
      </c>
      <c r="F56" s="1">
        <v>44753</v>
      </c>
      <c r="G56" s="8">
        <v>5000000</v>
      </c>
      <c r="H56" s="1">
        <v>45138</v>
      </c>
      <c r="I56" s="8"/>
      <c r="J56" s="1"/>
      <c r="K56" s="1">
        <v>44927</v>
      </c>
      <c r="L56" s="2">
        <v>174</v>
      </c>
      <c r="M56" s="9"/>
      <c r="N56" s="10"/>
      <c r="O56" s="26" t="s">
        <v>364</v>
      </c>
      <c r="P56" s="28" t="s">
        <v>365</v>
      </c>
      <c r="Q56" s="43" t="s">
        <v>366</v>
      </c>
      <c r="R56" s="31" t="s">
        <v>367</v>
      </c>
      <c r="S56" s="87"/>
      <c r="T56" s="87"/>
      <c r="U56" s="87"/>
      <c r="V56" s="11">
        <f t="shared" si="0"/>
        <v>174</v>
      </c>
      <c r="W56" s="11">
        <f>L56-V56</f>
        <v>0</v>
      </c>
      <c r="X56" s="38">
        <f t="shared" si="2"/>
        <v>44095</v>
      </c>
      <c r="Z56" s="38"/>
    </row>
    <row r="57" spans="1:27" s="11" customFormat="1" ht="22.15" customHeight="1" x14ac:dyDescent="0.25">
      <c r="A57" s="3">
        <v>28</v>
      </c>
      <c r="B57" s="4" t="s">
        <v>362</v>
      </c>
      <c r="C57" s="5"/>
      <c r="D57" s="6" t="s">
        <v>368</v>
      </c>
      <c r="E57" s="6" t="s">
        <v>369</v>
      </c>
      <c r="F57" s="1">
        <v>44644</v>
      </c>
      <c r="G57" s="8">
        <v>5000000</v>
      </c>
      <c r="H57" s="1">
        <v>44993</v>
      </c>
      <c r="I57" s="8"/>
      <c r="J57" s="1"/>
      <c r="K57" s="1">
        <v>44927</v>
      </c>
      <c r="L57" s="2">
        <v>283</v>
      </c>
      <c r="M57" s="9"/>
      <c r="N57" s="10"/>
      <c r="O57" s="26" t="s">
        <v>364</v>
      </c>
      <c r="P57" s="28" t="s">
        <v>365</v>
      </c>
      <c r="Q57" s="43" t="s">
        <v>366</v>
      </c>
      <c r="R57" s="31" t="s">
        <v>367</v>
      </c>
      <c r="S57" s="87"/>
      <c r="T57" s="87" t="s">
        <v>370</v>
      </c>
      <c r="U57" s="87"/>
      <c r="V57" s="11">
        <f t="shared" si="0"/>
        <v>283</v>
      </c>
      <c r="W57" s="11">
        <f t="shared" si="3"/>
        <v>0</v>
      </c>
      <c r="X57" s="38">
        <f t="shared" si="2"/>
        <v>71719</v>
      </c>
      <c r="Z57" s="38"/>
    </row>
    <row r="58" spans="1:27" s="11" customFormat="1" ht="22.15" customHeight="1" x14ac:dyDescent="0.25">
      <c r="A58" s="3">
        <v>29</v>
      </c>
      <c r="B58" s="4" t="s">
        <v>371</v>
      </c>
      <c r="C58" s="5"/>
      <c r="D58" s="6" t="s">
        <v>372</v>
      </c>
      <c r="E58" s="7" t="s">
        <v>373</v>
      </c>
      <c r="F58" s="1">
        <v>44739</v>
      </c>
      <c r="G58" s="8">
        <v>9800000</v>
      </c>
      <c r="H58" s="1">
        <v>45103</v>
      </c>
      <c r="I58" s="8"/>
      <c r="J58" s="1"/>
      <c r="K58" s="1">
        <v>44927</v>
      </c>
      <c r="L58" s="2">
        <v>188</v>
      </c>
      <c r="M58" s="9"/>
      <c r="N58" s="10"/>
      <c r="O58" s="26" t="s">
        <v>374</v>
      </c>
      <c r="P58" s="28" t="s">
        <v>375</v>
      </c>
      <c r="Q58" s="43" t="s">
        <v>376</v>
      </c>
      <c r="R58" s="31" t="s">
        <v>377</v>
      </c>
      <c r="S58" s="87"/>
      <c r="T58" s="87"/>
      <c r="U58" s="87"/>
      <c r="V58" s="11">
        <f t="shared" si="0"/>
        <v>188</v>
      </c>
      <c r="W58" s="11">
        <f t="shared" si="3"/>
        <v>0</v>
      </c>
      <c r="X58" s="38">
        <f t="shared" si="2"/>
        <v>93381</v>
      </c>
      <c r="Z58" s="38"/>
    </row>
    <row r="59" spans="1:27" s="11" customFormat="1" ht="22.15" customHeight="1" x14ac:dyDescent="0.25">
      <c r="A59" s="3">
        <v>40</v>
      </c>
      <c r="B59" s="4" t="s">
        <v>26</v>
      </c>
      <c r="C59" s="5"/>
      <c r="D59" s="6" t="s">
        <v>27</v>
      </c>
      <c r="E59" s="7" t="s">
        <v>28</v>
      </c>
      <c r="F59" s="1">
        <v>44739</v>
      </c>
      <c r="G59" s="8">
        <v>3000000</v>
      </c>
      <c r="H59" s="1">
        <v>44919</v>
      </c>
      <c r="I59" s="8">
        <v>3000000</v>
      </c>
      <c r="J59" s="1">
        <v>44918</v>
      </c>
      <c r="K59" s="1"/>
      <c r="L59" s="2">
        <f>DATEDIF(F59,J59,"d")</f>
        <v>179</v>
      </c>
      <c r="M59" s="226"/>
      <c r="N59" s="229"/>
      <c r="O59" s="241" t="s">
        <v>23</v>
      </c>
      <c r="P59" s="238">
        <v>13757267520</v>
      </c>
      <c r="Q59" s="235" t="s">
        <v>24</v>
      </c>
      <c r="R59" s="232" t="s">
        <v>25</v>
      </c>
      <c r="S59" s="46"/>
      <c r="T59" s="231" t="s">
        <v>32</v>
      </c>
      <c r="U59" s="46"/>
      <c r="X59" s="38"/>
      <c r="Y59" s="38"/>
      <c r="AA59" s="38"/>
    </row>
    <row r="60" spans="1:27" s="11" customFormat="1" ht="22.15" customHeight="1" x14ac:dyDescent="0.25">
      <c r="A60" s="3">
        <v>40</v>
      </c>
      <c r="B60" s="4" t="s">
        <v>26</v>
      </c>
      <c r="C60" s="5"/>
      <c r="D60" s="6" t="s">
        <v>27</v>
      </c>
      <c r="E60" s="7" t="s">
        <v>29</v>
      </c>
      <c r="F60" s="1">
        <v>44918</v>
      </c>
      <c r="G60" s="8">
        <v>3000000</v>
      </c>
      <c r="H60" s="1">
        <v>45098</v>
      </c>
      <c r="I60" s="8"/>
      <c r="J60" s="1"/>
      <c r="K60" s="1"/>
      <c r="L60" s="2">
        <f t="shared" ref="L60:L71" si="4">DATEDIF(F60,"2023-1-1","d")</f>
        <v>9</v>
      </c>
      <c r="M60" s="227"/>
      <c r="N60" s="230"/>
      <c r="O60" s="242"/>
      <c r="P60" s="239"/>
      <c r="Q60" s="236"/>
      <c r="R60" s="233"/>
      <c r="S60" s="46"/>
      <c r="T60" s="231"/>
      <c r="U60" s="46"/>
      <c r="X60" s="38"/>
      <c r="Y60" s="38"/>
      <c r="AA60" s="38"/>
    </row>
    <row r="61" spans="1:27" s="11" customFormat="1" ht="21.75" customHeight="1" x14ac:dyDescent="0.25">
      <c r="A61" s="3">
        <v>40</v>
      </c>
      <c r="B61" s="4" t="s">
        <v>147</v>
      </c>
      <c r="C61" s="5"/>
      <c r="D61" s="6" t="s">
        <v>30</v>
      </c>
      <c r="E61" s="7" t="s">
        <v>31</v>
      </c>
      <c r="F61" s="1">
        <v>44795</v>
      </c>
      <c r="G61" s="8">
        <v>3000000</v>
      </c>
      <c r="H61" s="1">
        <v>45159</v>
      </c>
      <c r="I61" s="8"/>
      <c r="J61" s="1"/>
      <c r="K61" s="1"/>
      <c r="L61" s="2">
        <f t="shared" si="4"/>
        <v>132</v>
      </c>
      <c r="M61" s="228"/>
      <c r="N61" s="230"/>
      <c r="O61" s="242"/>
      <c r="P61" s="239"/>
      <c r="Q61" s="236"/>
      <c r="R61" s="233"/>
      <c r="S61" s="46"/>
      <c r="T61" s="46"/>
      <c r="U61" s="46"/>
      <c r="X61" s="38"/>
      <c r="Y61" s="38"/>
      <c r="AA61" s="38"/>
    </row>
    <row r="62" spans="1:27" s="11" customFormat="1" ht="22.15" customHeight="1" x14ac:dyDescent="0.25">
      <c r="A62" s="3">
        <v>41</v>
      </c>
      <c r="B62" s="4" t="s">
        <v>148</v>
      </c>
      <c r="C62" s="5"/>
      <c r="D62" s="6" t="s">
        <v>19</v>
      </c>
      <c r="E62" s="7" t="s">
        <v>18</v>
      </c>
      <c r="F62" s="1">
        <v>44732</v>
      </c>
      <c r="G62" s="8">
        <v>5000000</v>
      </c>
      <c r="H62" s="1">
        <v>45096</v>
      </c>
      <c r="I62" s="8"/>
      <c r="J62" s="1"/>
      <c r="K62" s="1"/>
      <c r="L62" s="2">
        <f t="shared" si="4"/>
        <v>195</v>
      </c>
      <c r="M62" s="9"/>
      <c r="N62" s="10"/>
      <c r="O62" s="26" t="s">
        <v>20</v>
      </c>
      <c r="P62" s="28">
        <v>18257233058</v>
      </c>
      <c r="Q62" s="27" t="s">
        <v>21</v>
      </c>
      <c r="R62" s="31" t="s">
        <v>22</v>
      </c>
      <c r="S62" s="46"/>
      <c r="T62" s="46"/>
      <c r="U62" s="46"/>
      <c r="X62" s="38"/>
      <c r="Y62" s="38"/>
      <c r="AA62" s="38"/>
    </row>
    <row r="63" spans="1:27" s="11" customFormat="1" ht="22.15" customHeight="1" x14ac:dyDescent="0.25">
      <c r="A63" s="3">
        <v>42</v>
      </c>
      <c r="B63" s="4" t="s">
        <v>149</v>
      </c>
      <c r="C63" s="5"/>
      <c r="D63" s="6" t="s">
        <v>33</v>
      </c>
      <c r="E63" s="7" t="s">
        <v>34</v>
      </c>
      <c r="F63" s="34">
        <v>44818</v>
      </c>
      <c r="G63" s="8">
        <v>4000000</v>
      </c>
      <c r="H63" s="1">
        <v>45181</v>
      </c>
      <c r="I63" s="8"/>
      <c r="J63" s="1"/>
      <c r="K63" s="1"/>
      <c r="L63" s="2">
        <f t="shared" si="4"/>
        <v>109</v>
      </c>
      <c r="M63" s="9"/>
      <c r="N63" s="10"/>
      <c r="O63" s="26" t="s">
        <v>35</v>
      </c>
      <c r="P63" s="28">
        <v>15067248504</v>
      </c>
      <c r="Q63" s="27" t="s">
        <v>36</v>
      </c>
      <c r="R63" s="31" t="s">
        <v>37</v>
      </c>
      <c r="S63" s="46"/>
      <c r="T63" s="46"/>
      <c r="U63" s="46"/>
      <c r="X63" s="38"/>
      <c r="Y63" s="38"/>
      <c r="AA63" s="38"/>
    </row>
    <row r="64" spans="1:27" s="11" customFormat="1" ht="22.15" customHeight="1" x14ac:dyDescent="0.25">
      <c r="A64" s="3">
        <v>43</v>
      </c>
      <c r="B64" s="4" t="s">
        <v>38</v>
      </c>
      <c r="C64" s="5"/>
      <c r="D64" s="6" t="s">
        <v>19</v>
      </c>
      <c r="E64" s="7" t="s">
        <v>39</v>
      </c>
      <c r="F64" s="1">
        <v>44727</v>
      </c>
      <c r="G64" s="8">
        <v>5000000</v>
      </c>
      <c r="H64" s="1">
        <v>45089</v>
      </c>
      <c r="I64" s="8"/>
      <c r="J64" s="1"/>
      <c r="K64" s="1"/>
      <c r="L64" s="2">
        <f t="shared" si="4"/>
        <v>200</v>
      </c>
      <c r="M64" s="9"/>
      <c r="N64" s="10"/>
      <c r="O64" s="26" t="s">
        <v>42</v>
      </c>
      <c r="P64" s="28">
        <v>13867274685</v>
      </c>
      <c r="Q64" s="27" t="s">
        <v>43</v>
      </c>
      <c r="R64" s="31" t="s">
        <v>44</v>
      </c>
      <c r="S64" s="46"/>
      <c r="T64" s="46"/>
      <c r="U64" s="46"/>
      <c r="X64" s="38"/>
      <c r="Y64" s="38"/>
      <c r="AA64" s="38"/>
    </row>
    <row r="65" spans="1:27" s="11" customFormat="1" ht="22.15" customHeight="1" x14ac:dyDescent="0.25">
      <c r="A65" s="3">
        <v>43</v>
      </c>
      <c r="B65" s="4" t="s">
        <v>38</v>
      </c>
      <c r="C65" s="5"/>
      <c r="D65" s="6" t="s">
        <v>40</v>
      </c>
      <c r="E65" s="7" t="s">
        <v>41</v>
      </c>
      <c r="F65" s="1">
        <v>44733</v>
      </c>
      <c r="G65" s="8">
        <v>5000000</v>
      </c>
      <c r="H65" s="1">
        <v>45097</v>
      </c>
      <c r="I65" s="8"/>
      <c r="J65" s="1"/>
      <c r="K65" s="1"/>
      <c r="L65" s="2">
        <f t="shared" si="4"/>
        <v>194</v>
      </c>
      <c r="M65" s="9"/>
      <c r="N65" s="10"/>
      <c r="O65" s="26"/>
      <c r="P65" s="28"/>
      <c r="Q65" s="27"/>
      <c r="R65" s="31"/>
      <c r="S65" s="46"/>
      <c r="T65" s="46"/>
      <c r="U65" s="46"/>
      <c r="X65" s="38"/>
      <c r="Y65" s="38"/>
      <c r="AA65" s="38"/>
    </row>
    <row r="66" spans="1:27" s="11" customFormat="1" ht="22.15" customHeight="1" x14ac:dyDescent="0.25">
      <c r="A66" s="3">
        <v>44</v>
      </c>
      <c r="B66" s="4" t="s">
        <v>45</v>
      </c>
      <c r="C66" s="5"/>
      <c r="D66" s="6" t="s">
        <v>33</v>
      </c>
      <c r="E66" s="7" t="s">
        <v>46</v>
      </c>
      <c r="F66" s="1">
        <v>44826</v>
      </c>
      <c r="G66" s="8">
        <v>10000000</v>
      </c>
      <c r="H66" s="1">
        <v>45184</v>
      </c>
      <c r="I66" s="8"/>
      <c r="J66" s="1"/>
      <c r="K66" s="1"/>
      <c r="L66" s="2">
        <f t="shared" si="4"/>
        <v>101</v>
      </c>
      <c r="M66" s="9"/>
      <c r="N66" s="10"/>
      <c r="O66" s="26" t="s">
        <v>47</v>
      </c>
      <c r="P66" s="28">
        <v>13706726759</v>
      </c>
      <c r="Q66" s="27" t="s">
        <v>48</v>
      </c>
      <c r="R66" s="31" t="s">
        <v>49</v>
      </c>
      <c r="S66" s="46"/>
      <c r="T66" s="46"/>
      <c r="U66" s="46"/>
      <c r="X66" s="38"/>
      <c r="Y66" s="38"/>
      <c r="AA66" s="38"/>
    </row>
    <row r="67" spans="1:27" s="11" customFormat="1" ht="22.15" customHeight="1" x14ac:dyDescent="0.25">
      <c r="A67" s="3">
        <v>45</v>
      </c>
      <c r="B67" s="4" t="s">
        <v>50</v>
      </c>
      <c r="C67" s="5"/>
      <c r="D67" s="6" t="s">
        <v>51</v>
      </c>
      <c r="E67" s="7" t="s">
        <v>52</v>
      </c>
      <c r="F67" s="1">
        <v>44832</v>
      </c>
      <c r="G67" s="8">
        <v>6500000</v>
      </c>
      <c r="H67" s="1">
        <v>45196</v>
      </c>
      <c r="I67" s="8"/>
      <c r="J67" s="1"/>
      <c r="K67" s="1"/>
      <c r="L67" s="2">
        <f t="shared" si="4"/>
        <v>95</v>
      </c>
      <c r="M67" s="9"/>
      <c r="N67" s="10"/>
      <c r="O67" s="26" t="s">
        <v>53</v>
      </c>
      <c r="P67" s="28">
        <v>13868292728</v>
      </c>
      <c r="Q67" s="27" t="s">
        <v>54</v>
      </c>
      <c r="R67" s="31" t="s">
        <v>55</v>
      </c>
      <c r="S67" s="46"/>
      <c r="T67" s="46" t="s">
        <v>56</v>
      </c>
      <c r="U67" s="46"/>
      <c r="X67" s="38"/>
      <c r="Y67" s="38"/>
      <c r="AA67" s="38"/>
    </row>
    <row r="68" spans="1:27" s="11" customFormat="1" ht="22.15" customHeight="1" x14ac:dyDescent="0.25">
      <c r="A68" s="3">
        <v>46</v>
      </c>
      <c r="B68" s="4" t="s">
        <v>57</v>
      </c>
      <c r="C68" s="5"/>
      <c r="D68" s="6" t="s">
        <v>51</v>
      </c>
      <c r="E68" s="7" t="s">
        <v>58</v>
      </c>
      <c r="F68" s="1">
        <v>44740</v>
      </c>
      <c r="G68" s="8">
        <v>8000000</v>
      </c>
      <c r="H68" s="1">
        <v>45101</v>
      </c>
      <c r="I68" s="8"/>
      <c r="J68" s="1"/>
      <c r="K68" s="1"/>
      <c r="L68" s="2">
        <f t="shared" si="4"/>
        <v>187</v>
      </c>
      <c r="M68" s="9"/>
      <c r="N68" s="10"/>
      <c r="O68" s="26" t="s">
        <v>59</v>
      </c>
      <c r="P68" s="28" t="s">
        <v>60</v>
      </c>
      <c r="Q68" s="27" t="s">
        <v>61</v>
      </c>
      <c r="R68" s="31" t="s">
        <v>62</v>
      </c>
      <c r="S68" s="46"/>
      <c r="T68" s="46" t="s">
        <v>63</v>
      </c>
      <c r="U68" s="46"/>
      <c r="X68" s="38"/>
      <c r="Y68" s="38"/>
      <c r="AA68" s="38"/>
    </row>
    <row r="69" spans="1:27" s="11" customFormat="1" ht="22.15" customHeight="1" x14ac:dyDescent="0.25">
      <c r="A69" s="3">
        <v>47</v>
      </c>
      <c r="B69" s="4" t="s">
        <v>64</v>
      </c>
      <c r="C69" s="5"/>
      <c r="D69" s="6" t="s">
        <v>30</v>
      </c>
      <c r="E69" s="7" t="s">
        <v>65</v>
      </c>
      <c r="F69" s="1">
        <v>44796</v>
      </c>
      <c r="G69" s="8">
        <v>5000000</v>
      </c>
      <c r="H69" s="1">
        <v>45135</v>
      </c>
      <c r="I69" s="8"/>
      <c r="J69" s="1"/>
      <c r="K69" s="1"/>
      <c r="L69" s="2">
        <f t="shared" si="4"/>
        <v>131</v>
      </c>
      <c r="M69" s="9"/>
      <c r="N69" s="10"/>
      <c r="O69" s="241" t="s">
        <v>71</v>
      </c>
      <c r="P69" s="238">
        <v>17815653290</v>
      </c>
      <c r="Q69" s="235" t="s">
        <v>72</v>
      </c>
      <c r="R69" s="232" t="s">
        <v>73</v>
      </c>
      <c r="S69" s="46"/>
      <c r="T69" s="46"/>
      <c r="U69" s="47"/>
      <c r="X69" s="38"/>
      <c r="Y69" s="38"/>
      <c r="AA69" s="38"/>
    </row>
    <row r="70" spans="1:27" s="142" customFormat="1" x14ac:dyDescent="0.25">
      <c r="A70" s="131">
        <v>47</v>
      </c>
      <c r="B70" s="132" t="s">
        <v>64</v>
      </c>
      <c r="C70" s="133"/>
      <c r="D70" s="134" t="s">
        <v>66</v>
      </c>
      <c r="E70" s="135" t="s">
        <v>76</v>
      </c>
      <c r="F70" s="136">
        <v>44904</v>
      </c>
      <c r="G70" s="137">
        <v>15000000</v>
      </c>
      <c r="H70" s="136">
        <v>45269</v>
      </c>
      <c r="I70" s="137"/>
      <c r="J70" s="136"/>
      <c r="K70" s="136"/>
      <c r="L70" s="138"/>
      <c r="M70" s="139"/>
      <c r="N70" s="140"/>
      <c r="O70" s="242"/>
      <c r="P70" s="239"/>
      <c r="Q70" s="236"/>
      <c r="R70" s="233"/>
      <c r="S70" s="141"/>
      <c r="T70" s="141" t="s">
        <v>74</v>
      </c>
      <c r="U70" s="141"/>
      <c r="X70" s="143"/>
      <c r="Y70" s="143"/>
      <c r="AA70" s="143"/>
    </row>
    <row r="71" spans="1:27" s="11" customFormat="1" ht="22.15" customHeight="1" x14ac:dyDescent="0.25">
      <c r="A71" s="3">
        <v>47</v>
      </c>
      <c r="B71" s="4" t="s">
        <v>64</v>
      </c>
      <c r="C71" s="5"/>
      <c r="D71" s="6" t="s">
        <v>75</v>
      </c>
      <c r="E71" s="7" t="s">
        <v>67</v>
      </c>
      <c r="F71" s="1">
        <v>44810</v>
      </c>
      <c r="G71" s="8">
        <v>15000000</v>
      </c>
      <c r="H71" s="1">
        <v>45174</v>
      </c>
      <c r="I71" s="1"/>
      <c r="J71" s="1"/>
      <c r="K71" s="1"/>
      <c r="L71" s="2">
        <f t="shared" si="4"/>
        <v>117</v>
      </c>
      <c r="M71" s="9"/>
      <c r="N71" s="10"/>
      <c r="O71" s="242"/>
      <c r="P71" s="239"/>
      <c r="Q71" s="236"/>
      <c r="R71" s="233"/>
      <c r="S71" s="46"/>
      <c r="T71" s="46"/>
      <c r="U71" s="46"/>
      <c r="X71" s="38"/>
      <c r="Y71" s="38"/>
      <c r="AA71" s="38"/>
    </row>
    <row r="72" spans="1:27" s="142" customFormat="1" ht="22.15" customHeight="1" x14ac:dyDescent="0.25">
      <c r="A72" s="131">
        <v>47</v>
      </c>
      <c r="B72" s="132" t="s">
        <v>64</v>
      </c>
      <c r="C72" s="133"/>
      <c r="D72" s="134" t="s">
        <v>75</v>
      </c>
      <c r="E72" s="135" t="s">
        <v>67</v>
      </c>
      <c r="F72" s="136">
        <v>44834</v>
      </c>
      <c r="G72" s="137">
        <v>15000000</v>
      </c>
      <c r="H72" s="136">
        <v>45174</v>
      </c>
      <c r="I72" s="136"/>
      <c r="J72" s="136"/>
      <c r="K72" s="136"/>
      <c r="L72" s="138"/>
      <c r="M72" s="139"/>
      <c r="N72" s="140"/>
      <c r="O72" s="242"/>
      <c r="P72" s="239"/>
      <c r="Q72" s="236"/>
      <c r="R72" s="233"/>
      <c r="S72" s="141"/>
      <c r="T72" s="141"/>
      <c r="U72" s="141"/>
      <c r="X72" s="143"/>
      <c r="Y72" s="143"/>
      <c r="AA72" s="143"/>
    </row>
    <row r="73" spans="1:27" s="142" customFormat="1" ht="22.15" customHeight="1" x14ac:dyDescent="0.25">
      <c r="A73" s="131">
        <v>47</v>
      </c>
      <c r="B73" s="132" t="s">
        <v>64</v>
      </c>
      <c r="C73" s="133"/>
      <c r="D73" s="134" t="s">
        <v>68</v>
      </c>
      <c r="E73" s="135" t="s">
        <v>69</v>
      </c>
      <c r="F73" s="136">
        <v>44742</v>
      </c>
      <c r="G73" s="137">
        <v>4000000</v>
      </c>
      <c r="H73" s="136">
        <v>45107</v>
      </c>
      <c r="I73" s="137"/>
      <c r="J73" s="136"/>
      <c r="K73" s="136"/>
      <c r="L73" s="138"/>
      <c r="M73" s="139"/>
      <c r="N73" s="140"/>
      <c r="O73" s="242"/>
      <c r="P73" s="239"/>
      <c r="Q73" s="236"/>
      <c r="R73" s="233"/>
      <c r="S73" s="141"/>
      <c r="T73" s="141"/>
      <c r="U73" s="141"/>
      <c r="X73" s="143"/>
      <c r="Y73" s="143"/>
      <c r="AA73" s="143"/>
    </row>
    <row r="74" spans="1:27" s="142" customFormat="1" ht="22.15" customHeight="1" x14ac:dyDescent="0.25">
      <c r="A74" s="131">
        <v>47</v>
      </c>
      <c r="B74" s="132" t="s">
        <v>64</v>
      </c>
      <c r="C74" s="133"/>
      <c r="D74" s="134" t="s">
        <v>68</v>
      </c>
      <c r="E74" s="135" t="s">
        <v>70</v>
      </c>
      <c r="F74" s="136">
        <v>44876</v>
      </c>
      <c r="G74" s="137">
        <v>4000000</v>
      </c>
      <c r="H74" s="136">
        <v>45241</v>
      </c>
      <c r="I74" s="137"/>
      <c r="J74" s="136"/>
      <c r="K74" s="136"/>
      <c r="L74" s="138"/>
      <c r="M74" s="139"/>
      <c r="N74" s="140"/>
      <c r="O74" s="243"/>
      <c r="P74" s="240"/>
      <c r="Q74" s="237"/>
      <c r="R74" s="234"/>
      <c r="S74" s="141"/>
      <c r="T74" s="141"/>
      <c r="U74" s="141"/>
      <c r="X74" s="143"/>
      <c r="Y74" s="143"/>
      <c r="AA74" s="143"/>
    </row>
    <row r="75" spans="1:27" s="11" customFormat="1" ht="22.15" customHeight="1" x14ac:dyDescent="0.25">
      <c r="A75" s="3">
        <v>48</v>
      </c>
      <c r="B75" s="4" t="s">
        <v>475</v>
      </c>
      <c r="C75" s="5"/>
      <c r="D75" s="6" t="s">
        <v>460</v>
      </c>
      <c r="E75" s="7" t="s">
        <v>476</v>
      </c>
      <c r="F75" s="1">
        <v>44855</v>
      </c>
      <c r="G75" s="8">
        <v>10000000</v>
      </c>
      <c r="H75" s="1">
        <v>45218</v>
      </c>
      <c r="I75" s="8"/>
      <c r="J75" s="1"/>
      <c r="K75" s="1"/>
      <c r="L75" s="2">
        <f t="shared" ref="L75" si="5">DATEDIF(F75,"2023-1-1","d")</f>
        <v>72</v>
      </c>
      <c r="M75" s="9"/>
      <c r="N75" s="10"/>
      <c r="O75" s="25"/>
      <c r="P75" s="29"/>
      <c r="Q75" s="29"/>
      <c r="R75" s="27"/>
      <c r="S75" s="204"/>
      <c r="T75" s="204"/>
      <c r="U75" s="204"/>
      <c r="X75" s="38"/>
      <c r="Y75" s="38"/>
      <c r="AA75" s="38"/>
    </row>
  </sheetData>
  <autoFilter ref="A1:V74"/>
  <mergeCells count="11">
    <mergeCell ref="M59:M61"/>
    <mergeCell ref="N59:N61"/>
    <mergeCell ref="T59:T60"/>
    <mergeCell ref="R69:R74"/>
    <mergeCell ref="Q69:Q74"/>
    <mergeCell ref="P69:P74"/>
    <mergeCell ref="O69:O74"/>
    <mergeCell ref="O59:O61"/>
    <mergeCell ref="P59:P61"/>
    <mergeCell ref="Q59:Q61"/>
    <mergeCell ref="R59:R61"/>
  </mergeCells>
  <phoneticPr fontId="3" type="noConversion"/>
  <pageMargins left="0.75" right="0.75" top="1" bottom="1" header="0.5" footer="0.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A11" zoomScale="80" zoomScaleNormal="80" workbookViewId="0">
      <selection activeCell="L75" sqref="L75"/>
    </sheetView>
  </sheetViews>
  <sheetFormatPr defaultRowHeight="14" x14ac:dyDescent="0.25"/>
  <cols>
    <col min="1" max="1" width="9.08984375" bestFit="1" customWidth="1"/>
    <col min="2" max="2" width="29.6328125" bestFit="1" customWidth="1"/>
    <col min="3" max="3" width="5.26953125" bestFit="1" customWidth="1"/>
    <col min="4" max="4" width="33.90625" bestFit="1" customWidth="1"/>
    <col min="5" max="5" width="17.08984375" bestFit="1" customWidth="1"/>
    <col min="6" max="6" width="9.6328125" bestFit="1" customWidth="1"/>
    <col min="7" max="7" width="11.08984375" bestFit="1" customWidth="1"/>
    <col min="8" max="8" width="9.453125" bestFit="1" customWidth="1"/>
    <col min="9" max="9" width="11.90625" bestFit="1" customWidth="1"/>
    <col min="11" max="11" width="9.453125" bestFit="1" customWidth="1"/>
    <col min="12" max="12" width="9.08984375" bestFit="1" customWidth="1"/>
    <col min="16" max="16" width="11.26953125" bestFit="1" customWidth="1"/>
    <col min="17" max="17" width="19.36328125" bestFit="1" customWidth="1"/>
    <col min="18" max="18" width="33.90625" bestFit="1" customWidth="1"/>
  </cols>
  <sheetData>
    <row r="1" spans="1:26" s="23" customFormat="1" ht="39" x14ac:dyDescent="0.25">
      <c r="A1" s="30" t="s">
        <v>13</v>
      </c>
      <c r="B1" s="12" t="s">
        <v>0</v>
      </c>
      <c r="C1" s="13" t="s">
        <v>1</v>
      </c>
      <c r="D1" s="14" t="s">
        <v>2</v>
      </c>
      <c r="E1" s="15" t="s">
        <v>3</v>
      </c>
      <c r="F1" s="16" t="s">
        <v>4</v>
      </c>
      <c r="G1" s="17" t="s">
        <v>5</v>
      </c>
      <c r="H1" s="16" t="s">
        <v>6</v>
      </c>
      <c r="I1" s="18" t="s">
        <v>14</v>
      </c>
      <c r="J1" s="19" t="s">
        <v>15</v>
      </c>
      <c r="K1" s="35" t="s">
        <v>16</v>
      </c>
      <c r="L1" s="20" t="s">
        <v>12</v>
      </c>
      <c r="M1" s="21" t="s">
        <v>17</v>
      </c>
      <c r="N1" s="22" t="s">
        <v>7</v>
      </c>
      <c r="O1" s="21" t="s">
        <v>8</v>
      </c>
      <c r="P1" s="27" t="s">
        <v>9</v>
      </c>
      <c r="Q1" s="27" t="s">
        <v>10</v>
      </c>
      <c r="R1" s="27" t="s">
        <v>11</v>
      </c>
    </row>
    <row r="2" spans="1:26" s="84" customFormat="1" ht="22.15" customHeight="1" x14ac:dyDescent="0.25">
      <c r="A2" s="3">
        <v>30</v>
      </c>
      <c r="B2" s="4" t="s">
        <v>378</v>
      </c>
      <c r="C2" s="5"/>
      <c r="D2" s="31" t="s">
        <v>258</v>
      </c>
      <c r="E2" s="7" t="s">
        <v>389</v>
      </c>
      <c r="F2" s="1">
        <v>44652</v>
      </c>
      <c r="G2" s="8">
        <v>3180000</v>
      </c>
      <c r="H2" s="1">
        <v>45098</v>
      </c>
      <c r="I2" s="8"/>
      <c r="J2" s="1"/>
      <c r="K2" s="1">
        <v>44927</v>
      </c>
      <c r="L2" s="2">
        <v>184</v>
      </c>
      <c r="M2" s="9"/>
      <c r="N2" s="82"/>
      <c r="O2" s="71" t="s">
        <v>379</v>
      </c>
      <c r="P2" s="72" t="s">
        <v>380</v>
      </c>
      <c r="Q2" s="73" t="s">
        <v>381</v>
      </c>
      <c r="R2" s="79" t="s">
        <v>258</v>
      </c>
      <c r="S2" s="74" t="s">
        <v>382</v>
      </c>
      <c r="T2" s="83"/>
      <c r="U2" s="83"/>
      <c r="V2" s="75">
        <f>K2-F2-91</f>
        <v>184</v>
      </c>
      <c r="W2" s="84">
        <f t="shared" ref="W2:W15" si="0">L2-V2</f>
        <v>0</v>
      </c>
      <c r="X2" s="76">
        <f>INT(G2*(V2/365)*3.7%*50%)</f>
        <v>29656</v>
      </c>
      <c r="Z2" s="76"/>
    </row>
    <row r="3" spans="1:26" s="84" customFormat="1" ht="22.15" customHeight="1" x14ac:dyDescent="0.25">
      <c r="A3" s="3">
        <v>30</v>
      </c>
      <c r="B3" s="4" t="s">
        <v>378</v>
      </c>
      <c r="C3" s="5"/>
      <c r="D3" s="31" t="s">
        <v>258</v>
      </c>
      <c r="E3" s="7" t="s">
        <v>389</v>
      </c>
      <c r="F3" s="1">
        <v>44652</v>
      </c>
      <c r="G3" s="8">
        <v>3120000</v>
      </c>
      <c r="H3" s="1">
        <v>45281</v>
      </c>
      <c r="I3" s="8"/>
      <c r="J3" s="1"/>
      <c r="K3" s="1">
        <v>44927</v>
      </c>
      <c r="L3" s="2">
        <v>184</v>
      </c>
      <c r="M3" s="9"/>
      <c r="N3" s="82"/>
      <c r="O3" s="71" t="s">
        <v>379</v>
      </c>
      <c r="P3" s="72" t="s">
        <v>380</v>
      </c>
      <c r="Q3" s="73" t="s">
        <v>381</v>
      </c>
      <c r="R3" s="79" t="s">
        <v>258</v>
      </c>
      <c r="S3" s="74" t="s">
        <v>382</v>
      </c>
      <c r="T3" s="83"/>
      <c r="U3" s="83"/>
      <c r="V3" s="75">
        <f t="shared" ref="V3:V7" si="1">K3-F3-91</f>
        <v>184</v>
      </c>
      <c r="W3" s="84">
        <f t="shared" si="0"/>
        <v>0</v>
      </c>
      <c r="X3" s="76">
        <f>INT(G3*(V3/365)*3.7%*50%)</f>
        <v>29097</v>
      </c>
      <c r="Z3" s="76"/>
    </row>
    <row r="4" spans="1:26" s="84" customFormat="1" ht="22.15" customHeight="1" x14ac:dyDescent="0.25">
      <c r="A4" s="3">
        <v>30</v>
      </c>
      <c r="B4" s="4" t="s">
        <v>378</v>
      </c>
      <c r="C4" s="5"/>
      <c r="D4" s="31" t="s">
        <v>258</v>
      </c>
      <c r="E4" s="7" t="s">
        <v>389</v>
      </c>
      <c r="F4" s="1">
        <v>44652</v>
      </c>
      <c r="G4" s="8">
        <v>3120000</v>
      </c>
      <c r="H4" s="1">
        <v>45444</v>
      </c>
      <c r="I4" s="8"/>
      <c r="J4" s="1"/>
      <c r="K4" s="1">
        <v>44927</v>
      </c>
      <c r="L4" s="2">
        <v>184</v>
      </c>
      <c r="M4" s="9"/>
      <c r="N4" s="82"/>
      <c r="O4" s="71" t="s">
        <v>379</v>
      </c>
      <c r="P4" s="72" t="s">
        <v>380</v>
      </c>
      <c r="Q4" s="73" t="s">
        <v>381</v>
      </c>
      <c r="R4" s="79" t="s">
        <v>258</v>
      </c>
      <c r="S4" s="74" t="s">
        <v>382</v>
      </c>
      <c r="T4" s="83"/>
      <c r="U4" s="83"/>
      <c r="V4" s="75">
        <f t="shared" si="1"/>
        <v>184</v>
      </c>
      <c r="W4" s="84">
        <f t="shared" si="0"/>
        <v>0</v>
      </c>
      <c r="X4" s="76">
        <f t="shared" ref="X4:X7" si="2">INT(G4*(V4/365)*3.7%*50%)</f>
        <v>29097</v>
      </c>
      <c r="Z4" s="76"/>
    </row>
    <row r="5" spans="1:26" s="84" customFormat="1" ht="22.15" customHeight="1" x14ac:dyDescent="0.25">
      <c r="A5" s="3">
        <v>30</v>
      </c>
      <c r="B5" s="4" t="s">
        <v>378</v>
      </c>
      <c r="C5" s="5"/>
      <c r="D5" s="31" t="s">
        <v>258</v>
      </c>
      <c r="E5" s="7" t="s">
        <v>389</v>
      </c>
      <c r="F5" s="1">
        <v>44652</v>
      </c>
      <c r="G5" s="8">
        <v>3120000</v>
      </c>
      <c r="H5" s="1">
        <v>45647</v>
      </c>
      <c r="I5" s="8"/>
      <c r="J5" s="1"/>
      <c r="K5" s="1">
        <v>44927</v>
      </c>
      <c r="L5" s="2">
        <v>184</v>
      </c>
      <c r="M5" s="9"/>
      <c r="N5" s="82"/>
      <c r="O5" s="71" t="s">
        <v>379</v>
      </c>
      <c r="P5" s="72" t="s">
        <v>380</v>
      </c>
      <c r="Q5" s="73" t="s">
        <v>381</v>
      </c>
      <c r="R5" s="79" t="s">
        <v>258</v>
      </c>
      <c r="S5" s="74" t="s">
        <v>382</v>
      </c>
      <c r="T5" s="83"/>
      <c r="U5" s="85"/>
      <c r="V5" s="75">
        <f t="shared" si="1"/>
        <v>184</v>
      </c>
      <c r="W5" s="84">
        <f t="shared" si="0"/>
        <v>0</v>
      </c>
      <c r="X5" s="76">
        <f t="shared" si="2"/>
        <v>29097</v>
      </c>
      <c r="Z5" s="76"/>
    </row>
    <row r="6" spans="1:26" s="84" customFormat="1" ht="28" x14ac:dyDescent="0.25">
      <c r="A6" s="3">
        <v>30</v>
      </c>
      <c r="B6" s="4" t="s">
        <v>378</v>
      </c>
      <c r="C6" s="5"/>
      <c r="D6" s="31" t="s">
        <v>258</v>
      </c>
      <c r="E6" s="7" t="s">
        <v>389</v>
      </c>
      <c r="F6" s="1">
        <v>44652</v>
      </c>
      <c r="G6" s="8">
        <v>3580000</v>
      </c>
      <c r="H6" s="1">
        <v>45829</v>
      </c>
      <c r="I6" s="8"/>
      <c r="J6" s="1"/>
      <c r="K6" s="1">
        <v>44927</v>
      </c>
      <c r="L6" s="2">
        <v>184</v>
      </c>
      <c r="M6" s="9"/>
      <c r="N6" s="82"/>
      <c r="O6" s="71" t="s">
        <v>379</v>
      </c>
      <c r="P6" s="72" t="s">
        <v>380</v>
      </c>
      <c r="Q6" s="73" t="s">
        <v>381</v>
      </c>
      <c r="R6" s="79" t="s">
        <v>258</v>
      </c>
      <c r="S6" s="74" t="s">
        <v>382</v>
      </c>
      <c r="T6" s="83"/>
      <c r="U6" s="83"/>
      <c r="V6" s="75">
        <f t="shared" si="1"/>
        <v>184</v>
      </c>
      <c r="W6" s="84">
        <f t="shared" si="0"/>
        <v>0</v>
      </c>
      <c r="X6" s="76">
        <f t="shared" si="2"/>
        <v>33387</v>
      </c>
      <c r="Z6" s="76"/>
    </row>
    <row r="7" spans="1:26" s="84" customFormat="1" ht="22.15" customHeight="1" x14ac:dyDescent="0.25">
      <c r="A7" s="3">
        <v>30</v>
      </c>
      <c r="B7" s="4" t="s">
        <v>378</v>
      </c>
      <c r="C7" s="5"/>
      <c r="D7" s="31" t="s">
        <v>258</v>
      </c>
      <c r="E7" s="7" t="s">
        <v>389</v>
      </c>
      <c r="F7" s="1">
        <v>44652</v>
      </c>
      <c r="G7" s="8">
        <v>3580000</v>
      </c>
      <c r="H7" s="1">
        <v>46012</v>
      </c>
      <c r="I7" s="8"/>
      <c r="J7" s="1"/>
      <c r="K7" s="1">
        <v>44927</v>
      </c>
      <c r="L7" s="2">
        <v>184</v>
      </c>
      <c r="M7" s="9"/>
      <c r="N7" s="82"/>
      <c r="O7" s="71" t="s">
        <v>379</v>
      </c>
      <c r="P7" s="72" t="s">
        <v>380</v>
      </c>
      <c r="Q7" s="73" t="s">
        <v>381</v>
      </c>
      <c r="R7" s="79" t="s">
        <v>258</v>
      </c>
      <c r="S7" s="74" t="s">
        <v>382</v>
      </c>
      <c r="T7" s="83"/>
      <c r="U7" s="83"/>
      <c r="V7" s="75">
        <f t="shared" si="1"/>
        <v>184</v>
      </c>
      <c r="W7" s="84">
        <f t="shared" si="0"/>
        <v>0</v>
      </c>
      <c r="X7" s="76">
        <f t="shared" si="2"/>
        <v>33387</v>
      </c>
      <c r="Z7" s="76"/>
    </row>
    <row r="8" spans="1:26" s="84" customFormat="1" ht="22.15" customHeight="1" x14ac:dyDescent="0.25">
      <c r="A8" s="3">
        <v>30</v>
      </c>
      <c r="B8" s="4" t="s">
        <v>378</v>
      </c>
      <c r="C8" s="5"/>
      <c r="D8" s="31" t="s">
        <v>258</v>
      </c>
      <c r="E8" s="7" t="s">
        <v>389</v>
      </c>
      <c r="F8" s="1">
        <v>44782</v>
      </c>
      <c r="G8" s="8">
        <v>7000000</v>
      </c>
      <c r="H8" s="1">
        <v>45098</v>
      </c>
      <c r="I8" s="8"/>
      <c r="J8" s="1"/>
      <c r="K8" s="1">
        <v>44927</v>
      </c>
      <c r="L8" s="2">
        <v>145</v>
      </c>
      <c r="M8" s="9"/>
      <c r="N8" s="82"/>
      <c r="O8" s="71" t="s">
        <v>379</v>
      </c>
      <c r="P8" s="72" t="s">
        <v>380</v>
      </c>
      <c r="Q8" s="73" t="s">
        <v>381</v>
      </c>
      <c r="R8" s="79" t="s">
        <v>258</v>
      </c>
      <c r="S8" s="74" t="s">
        <v>382</v>
      </c>
      <c r="T8" s="83"/>
      <c r="U8" s="83"/>
      <c r="V8" s="75">
        <f t="shared" ref="V8:V15" si="3">K8-F8</f>
        <v>145</v>
      </c>
      <c r="W8" s="84">
        <f t="shared" si="0"/>
        <v>0</v>
      </c>
      <c r="X8" s="76">
        <f>INT(300000*(V8/365)*3.7%*50%)</f>
        <v>2204</v>
      </c>
      <c r="Z8" s="76"/>
    </row>
    <row r="9" spans="1:26" s="84" customFormat="1" ht="22.15" customHeight="1" x14ac:dyDescent="0.25">
      <c r="A9" s="3">
        <v>30</v>
      </c>
      <c r="B9" s="4" t="s">
        <v>378</v>
      </c>
      <c r="C9" s="5"/>
      <c r="D9" s="31" t="s">
        <v>258</v>
      </c>
      <c r="E9" s="7" t="s">
        <v>389</v>
      </c>
      <c r="F9" s="1">
        <v>44782</v>
      </c>
      <c r="G9" s="8">
        <v>7000000</v>
      </c>
      <c r="H9" s="1">
        <v>45281</v>
      </c>
      <c r="I9" s="8"/>
      <c r="J9" s="1"/>
      <c r="K9" s="1">
        <v>44927</v>
      </c>
      <c r="L9" s="2">
        <v>145</v>
      </c>
      <c r="M9" s="9"/>
      <c r="N9" s="82"/>
      <c r="O9" s="71" t="s">
        <v>379</v>
      </c>
      <c r="P9" s="72" t="s">
        <v>380</v>
      </c>
      <c r="Q9" s="73" t="s">
        <v>381</v>
      </c>
      <c r="R9" s="79" t="s">
        <v>258</v>
      </c>
      <c r="S9" s="74" t="s">
        <v>382</v>
      </c>
      <c r="T9" s="83"/>
      <c r="U9" s="83"/>
      <c r="V9" s="75">
        <f t="shared" si="3"/>
        <v>145</v>
      </c>
      <c r="W9" s="84">
        <f t="shared" si="0"/>
        <v>0</v>
      </c>
      <c r="X9" s="76"/>
      <c r="Z9" s="76"/>
    </row>
    <row r="10" spans="1:26" s="84" customFormat="1" ht="22.15" customHeight="1" x14ac:dyDescent="0.25">
      <c r="A10" s="3">
        <v>30</v>
      </c>
      <c r="B10" s="4" t="s">
        <v>378</v>
      </c>
      <c r="C10" s="5"/>
      <c r="D10" s="31" t="s">
        <v>258</v>
      </c>
      <c r="E10" s="7" t="s">
        <v>389</v>
      </c>
      <c r="F10" s="1">
        <v>44782</v>
      </c>
      <c r="G10" s="8">
        <v>7000000</v>
      </c>
      <c r="H10" s="1">
        <v>45464</v>
      </c>
      <c r="I10" s="8"/>
      <c r="J10" s="1"/>
      <c r="K10" s="1">
        <v>44927</v>
      </c>
      <c r="L10" s="2">
        <v>145</v>
      </c>
      <c r="M10" s="9"/>
      <c r="N10" s="82"/>
      <c r="O10" s="71" t="s">
        <v>379</v>
      </c>
      <c r="P10" s="72" t="s">
        <v>380</v>
      </c>
      <c r="Q10" s="73" t="s">
        <v>381</v>
      </c>
      <c r="R10" s="79" t="s">
        <v>258</v>
      </c>
      <c r="S10" s="74" t="s">
        <v>382</v>
      </c>
      <c r="T10" s="83"/>
      <c r="U10" s="83"/>
      <c r="V10" s="75">
        <f t="shared" si="3"/>
        <v>145</v>
      </c>
      <c r="W10" s="84">
        <f t="shared" si="0"/>
        <v>0</v>
      </c>
      <c r="X10" s="76"/>
      <c r="Z10" s="76"/>
    </row>
    <row r="11" spans="1:26" s="84" customFormat="1" ht="22.15" customHeight="1" x14ac:dyDescent="0.25">
      <c r="A11" s="3">
        <v>30</v>
      </c>
      <c r="B11" s="4" t="s">
        <v>378</v>
      </c>
      <c r="C11" s="5"/>
      <c r="D11" s="31" t="s">
        <v>258</v>
      </c>
      <c r="E11" s="7" t="s">
        <v>389</v>
      </c>
      <c r="F11" s="1">
        <v>44782</v>
      </c>
      <c r="G11" s="8">
        <v>7000000</v>
      </c>
      <c r="H11" s="1">
        <v>45647</v>
      </c>
      <c r="I11" s="8"/>
      <c r="J11" s="1"/>
      <c r="K11" s="1">
        <v>44927</v>
      </c>
      <c r="L11" s="2">
        <v>145</v>
      </c>
      <c r="M11" s="9"/>
      <c r="N11" s="82"/>
      <c r="O11" s="71" t="s">
        <v>379</v>
      </c>
      <c r="P11" s="72" t="s">
        <v>380</v>
      </c>
      <c r="Q11" s="73" t="s">
        <v>381</v>
      </c>
      <c r="R11" s="79" t="s">
        <v>258</v>
      </c>
      <c r="S11" s="74" t="s">
        <v>382</v>
      </c>
      <c r="T11" s="83"/>
      <c r="U11" s="83"/>
      <c r="V11" s="75">
        <f t="shared" si="3"/>
        <v>145</v>
      </c>
      <c r="W11" s="84">
        <f>L11-V11</f>
        <v>0</v>
      </c>
      <c r="X11" s="76"/>
      <c r="Z11" s="76"/>
    </row>
    <row r="12" spans="1:26" s="84" customFormat="1" ht="22.15" customHeight="1" x14ac:dyDescent="0.25">
      <c r="A12" s="3">
        <v>30</v>
      </c>
      <c r="B12" s="4" t="s">
        <v>378</v>
      </c>
      <c r="C12" s="5"/>
      <c r="D12" s="31" t="s">
        <v>258</v>
      </c>
      <c r="E12" s="7" t="s">
        <v>389</v>
      </c>
      <c r="F12" s="1">
        <v>44782</v>
      </c>
      <c r="G12" s="8">
        <v>8000000</v>
      </c>
      <c r="H12" s="1">
        <v>45829</v>
      </c>
      <c r="I12" s="8"/>
      <c r="J12" s="1"/>
      <c r="K12" s="1">
        <v>44927</v>
      </c>
      <c r="L12" s="2">
        <v>145</v>
      </c>
      <c r="M12" s="9"/>
      <c r="N12" s="82"/>
      <c r="O12" s="71" t="s">
        <v>379</v>
      </c>
      <c r="P12" s="72" t="s">
        <v>380</v>
      </c>
      <c r="Q12" s="73" t="s">
        <v>381</v>
      </c>
      <c r="R12" s="79" t="s">
        <v>258</v>
      </c>
      <c r="S12" s="74" t="s">
        <v>382</v>
      </c>
      <c r="T12" s="83"/>
      <c r="U12" s="83"/>
      <c r="V12" s="75">
        <f t="shared" si="3"/>
        <v>145</v>
      </c>
      <c r="W12" s="84">
        <f t="shared" si="0"/>
        <v>0</v>
      </c>
      <c r="X12" s="76"/>
      <c r="Z12" s="76"/>
    </row>
    <row r="13" spans="1:26" s="84" customFormat="1" ht="22.15" customHeight="1" x14ac:dyDescent="0.25">
      <c r="A13" s="3">
        <v>30</v>
      </c>
      <c r="B13" s="4" t="s">
        <v>378</v>
      </c>
      <c r="C13" s="5"/>
      <c r="D13" s="31" t="s">
        <v>258</v>
      </c>
      <c r="E13" s="7" t="s">
        <v>389</v>
      </c>
      <c r="F13" s="1">
        <v>44782</v>
      </c>
      <c r="G13" s="8">
        <v>8000000</v>
      </c>
      <c r="H13" s="1">
        <v>46012</v>
      </c>
      <c r="I13" s="8"/>
      <c r="J13" s="1"/>
      <c r="K13" s="1">
        <v>44927</v>
      </c>
      <c r="L13" s="2">
        <v>145</v>
      </c>
      <c r="M13" s="9"/>
      <c r="N13" s="82"/>
      <c r="O13" s="71" t="s">
        <v>379</v>
      </c>
      <c r="P13" s="72" t="s">
        <v>380</v>
      </c>
      <c r="Q13" s="73" t="s">
        <v>381</v>
      </c>
      <c r="R13" s="79" t="s">
        <v>258</v>
      </c>
      <c r="S13" s="74" t="s">
        <v>382</v>
      </c>
      <c r="T13" s="83"/>
      <c r="U13" s="83"/>
      <c r="V13" s="75">
        <f t="shared" si="3"/>
        <v>145</v>
      </c>
      <c r="W13" s="84">
        <f t="shared" si="0"/>
        <v>0</v>
      </c>
      <c r="X13" s="76"/>
      <c r="Z13" s="76"/>
    </row>
    <row r="14" spans="1:26" s="75" customFormat="1" ht="22.15" customHeight="1" x14ac:dyDescent="0.25">
      <c r="A14" s="3">
        <v>31</v>
      </c>
      <c r="B14" s="4" t="s">
        <v>383</v>
      </c>
      <c r="C14" s="5"/>
      <c r="D14" s="6" t="s">
        <v>384</v>
      </c>
      <c r="E14" s="7" t="s">
        <v>385</v>
      </c>
      <c r="F14" s="1">
        <v>44852</v>
      </c>
      <c r="G14" s="8">
        <v>9834732.4600000009</v>
      </c>
      <c r="H14" s="1">
        <v>47218</v>
      </c>
      <c r="I14" s="8"/>
      <c r="J14" s="1"/>
      <c r="K14" s="1">
        <v>44927</v>
      </c>
      <c r="L14" s="2">
        <v>75</v>
      </c>
      <c r="M14" s="9"/>
      <c r="N14" s="70"/>
      <c r="O14" s="71" t="s">
        <v>386</v>
      </c>
      <c r="P14" s="72" t="s">
        <v>387</v>
      </c>
      <c r="Q14" s="73" t="s">
        <v>388</v>
      </c>
      <c r="R14" s="79" t="s">
        <v>384</v>
      </c>
      <c r="S14" s="74" t="s">
        <v>382</v>
      </c>
      <c r="T14" s="74"/>
      <c r="U14" s="74"/>
      <c r="V14" s="75">
        <f t="shared" si="3"/>
        <v>75</v>
      </c>
      <c r="W14" s="75">
        <f t="shared" si="0"/>
        <v>0</v>
      </c>
      <c r="X14" s="60">
        <f>INT(G14*(V14/365)*3.7%*50%)</f>
        <v>37385</v>
      </c>
      <c r="Z14" s="38"/>
    </row>
    <row r="15" spans="1:26" s="75" customFormat="1" ht="22.15" customHeight="1" x14ac:dyDescent="0.25">
      <c r="A15" s="3">
        <v>31</v>
      </c>
      <c r="B15" s="4" t="s">
        <v>383</v>
      </c>
      <c r="C15" s="5"/>
      <c r="D15" s="6" t="s">
        <v>384</v>
      </c>
      <c r="E15" s="7" t="s">
        <v>385</v>
      </c>
      <c r="F15" s="1">
        <v>44895</v>
      </c>
      <c r="G15" s="8">
        <v>8490800</v>
      </c>
      <c r="H15" s="1">
        <v>47218</v>
      </c>
      <c r="I15" s="8"/>
      <c r="J15" s="1"/>
      <c r="K15" s="1">
        <v>44927</v>
      </c>
      <c r="L15" s="2">
        <v>32</v>
      </c>
      <c r="M15" s="9"/>
      <c r="N15" s="70"/>
      <c r="O15" s="71" t="s">
        <v>386</v>
      </c>
      <c r="P15" s="72" t="s">
        <v>387</v>
      </c>
      <c r="Q15" s="73" t="s">
        <v>388</v>
      </c>
      <c r="R15" s="79" t="s">
        <v>384</v>
      </c>
      <c r="S15" s="74" t="s">
        <v>382</v>
      </c>
      <c r="T15" s="74"/>
      <c r="U15" s="74"/>
      <c r="V15" s="75">
        <f t="shared" si="3"/>
        <v>32</v>
      </c>
      <c r="W15" s="75">
        <f t="shared" si="0"/>
        <v>0</v>
      </c>
      <c r="X15" s="60">
        <f>INT(G15*(V15/365)*3.7%*50%)</f>
        <v>13771</v>
      </c>
      <c r="Z15" s="38"/>
    </row>
    <row r="16" spans="1:26" s="11" customFormat="1" ht="22.15" customHeight="1" x14ac:dyDescent="0.25">
      <c r="A16" s="62">
        <v>32</v>
      </c>
      <c r="B16" s="4" t="s">
        <v>77</v>
      </c>
      <c r="C16" s="5"/>
      <c r="D16" s="6" t="s">
        <v>78</v>
      </c>
      <c r="E16" s="7" t="s">
        <v>79</v>
      </c>
      <c r="F16" s="1">
        <v>44677</v>
      </c>
      <c r="G16" s="8">
        <v>4900000</v>
      </c>
      <c r="H16" s="1">
        <v>46121</v>
      </c>
      <c r="I16" s="8"/>
      <c r="J16" s="1"/>
      <c r="K16" s="1"/>
      <c r="L16" s="2">
        <v>184</v>
      </c>
      <c r="M16" s="9"/>
      <c r="N16" s="10" t="s">
        <v>80</v>
      </c>
      <c r="O16" s="26" t="s">
        <v>81</v>
      </c>
      <c r="P16" s="28" t="s">
        <v>82</v>
      </c>
      <c r="Q16" s="27" t="s">
        <v>83</v>
      </c>
      <c r="R16" s="31" t="s">
        <v>84</v>
      </c>
      <c r="S16" s="11">
        <f>DATEDIF("2022-7-1","2023-1-1","d")</f>
        <v>184</v>
      </c>
    </row>
    <row r="17" spans="1:27" s="11" customFormat="1" ht="22.15" customHeight="1" x14ac:dyDescent="0.25">
      <c r="A17" s="62">
        <v>32</v>
      </c>
      <c r="B17" s="4" t="s">
        <v>77</v>
      </c>
      <c r="C17" s="5"/>
      <c r="D17" s="6" t="s">
        <v>78</v>
      </c>
      <c r="E17" s="7" t="s">
        <v>79</v>
      </c>
      <c r="F17" s="1">
        <v>44691</v>
      </c>
      <c r="G17" s="8">
        <v>4250000</v>
      </c>
      <c r="H17" s="1">
        <v>46121</v>
      </c>
      <c r="I17" s="8"/>
      <c r="J17" s="1"/>
      <c r="K17" s="1"/>
      <c r="L17" s="2">
        <v>184</v>
      </c>
      <c r="M17" s="9"/>
      <c r="N17" s="10" t="s">
        <v>80</v>
      </c>
      <c r="O17" s="26" t="s">
        <v>81</v>
      </c>
      <c r="P17" s="28" t="s">
        <v>82</v>
      </c>
      <c r="Q17" s="27" t="s">
        <v>83</v>
      </c>
      <c r="R17" s="31" t="s">
        <v>84</v>
      </c>
      <c r="S17" s="11">
        <f t="shared" ref="S17:S25" si="4">DATEDIF("2022-7-1","2023-1-1","d")</f>
        <v>184</v>
      </c>
    </row>
    <row r="18" spans="1:27" s="11" customFormat="1" x14ac:dyDescent="0.25">
      <c r="A18" s="62">
        <v>32</v>
      </c>
      <c r="B18" s="4" t="s">
        <v>77</v>
      </c>
      <c r="C18" s="5"/>
      <c r="D18" s="6" t="s">
        <v>78</v>
      </c>
      <c r="E18" s="7" t="s">
        <v>79</v>
      </c>
      <c r="F18" s="1">
        <v>44694</v>
      </c>
      <c r="G18" s="8">
        <v>2480000</v>
      </c>
      <c r="H18" s="1">
        <v>46121</v>
      </c>
      <c r="I18" s="8"/>
      <c r="J18" s="1"/>
      <c r="K18" s="1"/>
      <c r="L18" s="2">
        <v>184</v>
      </c>
      <c r="M18" s="9"/>
      <c r="N18" s="10" t="s">
        <v>80</v>
      </c>
      <c r="O18" s="26" t="s">
        <v>81</v>
      </c>
      <c r="P18" s="28" t="s">
        <v>82</v>
      </c>
      <c r="Q18" s="27" t="s">
        <v>83</v>
      </c>
      <c r="R18" s="31" t="s">
        <v>84</v>
      </c>
      <c r="S18" s="11">
        <f t="shared" si="4"/>
        <v>184</v>
      </c>
    </row>
    <row r="19" spans="1:27" s="11" customFormat="1" ht="22.15" customHeight="1" x14ac:dyDescent="0.25">
      <c r="A19" s="62">
        <v>32</v>
      </c>
      <c r="B19" s="4" t="s">
        <v>77</v>
      </c>
      <c r="C19" s="5"/>
      <c r="D19" s="6" t="s">
        <v>78</v>
      </c>
      <c r="E19" s="7" t="s">
        <v>79</v>
      </c>
      <c r="F19" s="1">
        <v>44713</v>
      </c>
      <c r="G19" s="8">
        <v>8489266</v>
      </c>
      <c r="H19" s="1">
        <v>46121</v>
      </c>
      <c r="I19" s="8"/>
      <c r="J19" s="1"/>
      <c r="K19" s="1"/>
      <c r="L19" s="2">
        <v>184</v>
      </c>
      <c r="M19" s="9"/>
      <c r="N19" s="10" t="s">
        <v>80</v>
      </c>
      <c r="O19" s="26" t="s">
        <v>81</v>
      </c>
      <c r="P19" s="28" t="s">
        <v>82</v>
      </c>
      <c r="Q19" s="27" t="s">
        <v>83</v>
      </c>
      <c r="R19" s="31" t="s">
        <v>84</v>
      </c>
      <c r="S19" s="11">
        <f t="shared" si="4"/>
        <v>184</v>
      </c>
    </row>
    <row r="20" spans="1:27" s="11" customFormat="1" ht="22.15" customHeight="1" x14ac:dyDescent="0.25">
      <c r="A20" s="62">
        <v>32</v>
      </c>
      <c r="B20" s="4" t="s">
        <v>77</v>
      </c>
      <c r="C20" s="5"/>
      <c r="D20" s="6" t="s">
        <v>78</v>
      </c>
      <c r="E20" s="7" t="s">
        <v>79</v>
      </c>
      <c r="F20" s="1">
        <v>44733</v>
      </c>
      <c r="G20" s="8">
        <v>4156000</v>
      </c>
      <c r="H20" s="1">
        <v>46121</v>
      </c>
      <c r="I20" s="8"/>
      <c r="J20" s="1"/>
      <c r="K20" s="1"/>
      <c r="L20" s="2">
        <v>184</v>
      </c>
      <c r="M20" s="9"/>
      <c r="N20" s="10" t="s">
        <v>80</v>
      </c>
      <c r="O20" s="26" t="s">
        <v>81</v>
      </c>
      <c r="P20" s="28" t="s">
        <v>82</v>
      </c>
      <c r="Q20" s="27" t="s">
        <v>83</v>
      </c>
      <c r="R20" s="31" t="s">
        <v>84</v>
      </c>
      <c r="S20" s="11">
        <f t="shared" si="4"/>
        <v>184</v>
      </c>
    </row>
    <row r="21" spans="1:27" s="11" customFormat="1" ht="22.15" customHeight="1" x14ac:dyDescent="0.25">
      <c r="A21" s="62">
        <v>32</v>
      </c>
      <c r="B21" s="4" t="s">
        <v>77</v>
      </c>
      <c r="C21" s="5"/>
      <c r="D21" s="6" t="s">
        <v>78</v>
      </c>
      <c r="E21" s="7" t="s">
        <v>79</v>
      </c>
      <c r="F21" s="1">
        <v>44761</v>
      </c>
      <c r="G21" s="8">
        <v>2293864</v>
      </c>
      <c r="H21" s="1">
        <v>46121</v>
      </c>
      <c r="I21" s="8"/>
      <c r="J21" s="1"/>
      <c r="K21" s="1"/>
      <c r="L21" s="2">
        <v>184</v>
      </c>
      <c r="M21" s="9"/>
      <c r="N21" s="10" t="s">
        <v>80</v>
      </c>
      <c r="O21" s="26" t="s">
        <v>81</v>
      </c>
      <c r="P21" s="28" t="s">
        <v>82</v>
      </c>
      <c r="Q21" s="27" t="s">
        <v>83</v>
      </c>
      <c r="R21" s="31" t="s">
        <v>84</v>
      </c>
      <c r="S21" s="11">
        <f t="shared" si="4"/>
        <v>184</v>
      </c>
    </row>
    <row r="22" spans="1:27" s="59" customFormat="1" ht="22.15" customHeight="1" x14ac:dyDescent="0.25">
      <c r="A22" s="63">
        <v>32</v>
      </c>
      <c r="B22" s="49" t="s">
        <v>77</v>
      </c>
      <c r="C22" s="50"/>
      <c r="D22" s="51" t="s">
        <v>78</v>
      </c>
      <c r="E22" s="52" t="s">
        <v>79</v>
      </c>
      <c r="F22" s="53">
        <v>44767</v>
      </c>
      <c r="G22" s="54">
        <v>4900000</v>
      </c>
      <c r="H22" s="53">
        <v>46121</v>
      </c>
      <c r="I22" s="54"/>
      <c r="J22" s="53"/>
      <c r="K22" s="53"/>
      <c r="L22" s="55"/>
      <c r="M22" s="56"/>
      <c r="N22" s="57" t="s">
        <v>80</v>
      </c>
      <c r="O22" s="64" t="s">
        <v>81</v>
      </c>
      <c r="P22" s="65" t="s">
        <v>82</v>
      </c>
      <c r="Q22" s="68" t="s">
        <v>83</v>
      </c>
      <c r="R22" s="67" t="s">
        <v>84</v>
      </c>
      <c r="S22" s="59">
        <f t="shared" si="4"/>
        <v>184</v>
      </c>
    </row>
    <row r="23" spans="1:27" s="59" customFormat="1" ht="22.15" customHeight="1" x14ac:dyDescent="0.25">
      <c r="A23" s="63">
        <v>32</v>
      </c>
      <c r="B23" s="49" t="s">
        <v>77</v>
      </c>
      <c r="C23" s="50"/>
      <c r="D23" s="51" t="s">
        <v>78</v>
      </c>
      <c r="E23" s="52" t="s">
        <v>79</v>
      </c>
      <c r="F23" s="53">
        <v>44791</v>
      </c>
      <c r="G23" s="54">
        <v>1530000</v>
      </c>
      <c r="H23" s="53">
        <v>46121</v>
      </c>
      <c r="I23" s="54"/>
      <c r="J23" s="53"/>
      <c r="K23" s="53"/>
      <c r="L23" s="55"/>
      <c r="M23" s="56"/>
      <c r="N23" s="57" t="s">
        <v>80</v>
      </c>
      <c r="O23" s="64" t="s">
        <v>81</v>
      </c>
      <c r="P23" s="65" t="s">
        <v>82</v>
      </c>
      <c r="Q23" s="68" t="s">
        <v>83</v>
      </c>
      <c r="R23" s="67" t="s">
        <v>84</v>
      </c>
      <c r="S23" s="59">
        <f t="shared" si="4"/>
        <v>184</v>
      </c>
    </row>
    <row r="24" spans="1:27" s="59" customFormat="1" ht="22.15" customHeight="1" x14ac:dyDescent="0.25">
      <c r="A24" s="48">
        <v>32</v>
      </c>
      <c r="B24" s="49" t="s">
        <v>77</v>
      </c>
      <c r="C24" s="50"/>
      <c r="D24" s="51" t="s">
        <v>78</v>
      </c>
      <c r="E24" s="52" t="s">
        <v>86</v>
      </c>
      <c r="F24" s="53">
        <v>44865</v>
      </c>
      <c r="G24" s="54">
        <v>8626935</v>
      </c>
      <c r="H24" s="53">
        <v>46121</v>
      </c>
      <c r="I24" s="54"/>
      <c r="J24" s="53"/>
      <c r="K24" s="53"/>
      <c r="L24" s="55"/>
      <c r="M24" s="56"/>
      <c r="N24" s="57" t="s">
        <v>80</v>
      </c>
      <c r="O24" s="64" t="s">
        <v>81</v>
      </c>
      <c r="P24" s="65" t="s">
        <v>82</v>
      </c>
      <c r="Q24" s="68" t="s">
        <v>83</v>
      </c>
      <c r="R24" s="67" t="s">
        <v>84</v>
      </c>
      <c r="S24" s="59">
        <f t="shared" si="4"/>
        <v>184</v>
      </c>
    </row>
    <row r="25" spans="1:27" s="69" customFormat="1" ht="22.15" customHeight="1" x14ac:dyDescent="0.25">
      <c r="A25" s="48">
        <v>32</v>
      </c>
      <c r="B25" s="49" t="s">
        <v>77</v>
      </c>
      <c r="C25" s="50"/>
      <c r="D25" s="51" t="s">
        <v>78</v>
      </c>
      <c r="E25" s="52" t="s">
        <v>86</v>
      </c>
      <c r="F25" s="53">
        <v>44897</v>
      </c>
      <c r="G25" s="54">
        <v>2018858</v>
      </c>
      <c r="H25" s="53">
        <v>46121</v>
      </c>
      <c r="I25" s="54"/>
      <c r="J25" s="53"/>
      <c r="K25" s="53"/>
      <c r="L25" s="55"/>
      <c r="M25" s="56"/>
      <c r="N25" s="57" t="s">
        <v>80</v>
      </c>
      <c r="O25" s="64" t="s">
        <v>81</v>
      </c>
      <c r="P25" s="65" t="s">
        <v>82</v>
      </c>
      <c r="Q25" s="68" t="s">
        <v>83</v>
      </c>
      <c r="R25" s="67" t="s">
        <v>84</v>
      </c>
      <c r="S25" s="59">
        <f t="shared" si="4"/>
        <v>184</v>
      </c>
    </row>
    <row r="26" spans="1:27" s="11" customFormat="1" ht="22.15" customHeight="1" x14ac:dyDescent="0.25">
      <c r="A26" s="62">
        <v>33</v>
      </c>
      <c r="B26" s="4" t="s">
        <v>64</v>
      </c>
      <c r="C26" s="5"/>
      <c r="D26" s="6" t="s">
        <v>87</v>
      </c>
      <c r="E26" s="7" t="s">
        <v>88</v>
      </c>
      <c r="F26" s="1">
        <v>44603</v>
      </c>
      <c r="G26" s="8">
        <v>4000000</v>
      </c>
      <c r="H26" s="1">
        <v>46706</v>
      </c>
      <c r="I26" s="8"/>
      <c r="J26" s="1"/>
      <c r="K26" s="1"/>
      <c r="L26" s="2">
        <v>184</v>
      </c>
      <c r="M26" s="9"/>
      <c r="N26" s="10" t="s">
        <v>80</v>
      </c>
      <c r="O26" s="26" t="s">
        <v>71</v>
      </c>
      <c r="P26" s="28" t="s">
        <v>89</v>
      </c>
      <c r="Q26" s="27" t="s">
        <v>72</v>
      </c>
      <c r="R26" s="31" t="s">
        <v>73</v>
      </c>
      <c r="S26" s="37"/>
      <c r="T26" s="37"/>
      <c r="U26" s="47" t="s">
        <v>90</v>
      </c>
      <c r="X26" s="38"/>
      <c r="Y26" s="38"/>
      <c r="AA26" s="38"/>
    </row>
    <row r="27" spans="1:27" s="11" customFormat="1" ht="28" x14ac:dyDescent="0.25">
      <c r="A27" s="3">
        <v>33</v>
      </c>
      <c r="B27" s="4" t="s">
        <v>64</v>
      </c>
      <c r="C27" s="5"/>
      <c r="D27" s="6" t="s">
        <v>87</v>
      </c>
      <c r="E27" s="7" t="s">
        <v>91</v>
      </c>
      <c r="F27" s="1">
        <v>44713</v>
      </c>
      <c r="G27" s="8">
        <v>3000000</v>
      </c>
      <c r="H27" s="1">
        <v>46172</v>
      </c>
      <c r="I27" s="8"/>
      <c r="J27" s="1"/>
      <c r="K27" s="1"/>
      <c r="L27" s="2">
        <v>184</v>
      </c>
      <c r="M27" s="9"/>
      <c r="N27" s="10" t="s">
        <v>80</v>
      </c>
      <c r="O27" s="26" t="s">
        <v>71</v>
      </c>
      <c r="P27" s="28" t="s">
        <v>89</v>
      </c>
      <c r="Q27" s="27" t="s">
        <v>72</v>
      </c>
      <c r="R27" s="31" t="s">
        <v>73</v>
      </c>
      <c r="S27" s="37"/>
      <c r="T27" s="37"/>
      <c r="U27" s="47" t="s">
        <v>90</v>
      </c>
      <c r="X27" s="38"/>
      <c r="Y27" s="38"/>
      <c r="AA27" s="38"/>
    </row>
    <row r="28" spans="1:27" s="11" customFormat="1" ht="22.15" customHeight="1" x14ac:dyDescent="0.25">
      <c r="A28" s="62">
        <v>34</v>
      </c>
      <c r="B28" s="4" t="s">
        <v>92</v>
      </c>
      <c r="C28" s="5"/>
      <c r="D28" s="6" t="s">
        <v>93</v>
      </c>
      <c r="E28" s="7" t="s">
        <v>94</v>
      </c>
      <c r="F28" s="1">
        <v>44565</v>
      </c>
      <c r="G28" s="8">
        <v>22000000</v>
      </c>
      <c r="H28" s="1">
        <v>45191</v>
      </c>
      <c r="I28" s="1"/>
      <c r="J28" s="1"/>
      <c r="K28" s="1"/>
      <c r="L28" s="2">
        <v>184</v>
      </c>
      <c r="M28" s="9"/>
      <c r="N28" s="10" t="s">
        <v>80</v>
      </c>
      <c r="O28" s="26" t="s">
        <v>95</v>
      </c>
      <c r="P28" s="28" t="s">
        <v>96</v>
      </c>
      <c r="Q28" s="43" t="s">
        <v>97</v>
      </c>
      <c r="R28" s="31" t="s">
        <v>93</v>
      </c>
      <c r="S28" s="37"/>
      <c r="T28" s="37"/>
      <c r="U28" s="47" t="s">
        <v>98</v>
      </c>
      <c r="X28" s="38"/>
      <c r="Y28" s="38"/>
      <c r="AA28" s="38"/>
    </row>
    <row r="29" spans="1:27" s="59" customFormat="1" ht="22.15" customHeight="1" x14ac:dyDescent="0.25">
      <c r="A29" s="63">
        <v>34</v>
      </c>
      <c r="B29" s="49" t="s">
        <v>92</v>
      </c>
      <c r="C29" s="50"/>
      <c r="D29" s="51" t="s">
        <v>93</v>
      </c>
      <c r="E29" s="52" t="s">
        <v>99</v>
      </c>
      <c r="F29" s="53">
        <v>44678</v>
      </c>
      <c r="G29" s="54">
        <v>20000000</v>
      </c>
      <c r="H29" s="53">
        <v>45191</v>
      </c>
      <c r="I29" s="53"/>
      <c r="J29" s="53"/>
      <c r="K29" s="53"/>
      <c r="L29" s="55"/>
      <c r="M29" s="56"/>
      <c r="N29" s="57" t="s">
        <v>80</v>
      </c>
      <c r="O29" s="64" t="s">
        <v>95</v>
      </c>
      <c r="P29" s="65" t="s">
        <v>96</v>
      </c>
      <c r="Q29" s="66" t="s">
        <v>97</v>
      </c>
      <c r="R29" s="67" t="s">
        <v>100</v>
      </c>
      <c r="S29" s="58"/>
      <c r="T29" s="58"/>
      <c r="U29" s="61" t="s">
        <v>98</v>
      </c>
      <c r="X29" s="60"/>
      <c r="Y29" s="60"/>
      <c r="AA29" s="60"/>
    </row>
    <row r="30" spans="1:27" s="11" customFormat="1" ht="22.15" customHeight="1" x14ac:dyDescent="0.25">
      <c r="A30" s="62">
        <v>35</v>
      </c>
      <c r="B30" s="4" t="s">
        <v>101</v>
      </c>
      <c r="C30" s="5"/>
      <c r="D30" s="6" t="s">
        <v>102</v>
      </c>
      <c r="E30" s="7" t="s">
        <v>103</v>
      </c>
      <c r="F30" s="1">
        <v>44812</v>
      </c>
      <c r="G30" s="8">
        <v>6000000</v>
      </c>
      <c r="H30" s="1">
        <v>45905</v>
      </c>
      <c r="I30" s="8"/>
      <c r="J30" s="1"/>
      <c r="K30" s="1"/>
      <c r="L30" s="2">
        <f>DATEDIF(F30,"2023-1-1","d")</f>
        <v>115</v>
      </c>
      <c r="M30" s="9"/>
      <c r="N30" s="10" t="s">
        <v>80</v>
      </c>
      <c r="O30" s="26" t="s">
        <v>104</v>
      </c>
      <c r="P30" s="28" t="s">
        <v>105</v>
      </c>
      <c r="Q30" s="43" t="s">
        <v>106</v>
      </c>
      <c r="R30" s="31" t="s">
        <v>107</v>
      </c>
      <c r="S30" s="37"/>
      <c r="T30" s="37"/>
      <c r="U30" s="47" t="s">
        <v>108</v>
      </c>
      <c r="X30" s="38"/>
      <c r="Y30" s="38"/>
      <c r="AA30" s="38"/>
    </row>
    <row r="31" spans="1:27" s="11" customFormat="1" ht="22.15" customHeight="1" x14ac:dyDescent="0.25">
      <c r="A31" s="62">
        <v>35</v>
      </c>
      <c r="B31" s="4" t="s">
        <v>101</v>
      </c>
      <c r="C31" s="5"/>
      <c r="D31" s="6" t="s">
        <v>102</v>
      </c>
      <c r="E31" s="7" t="s">
        <v>103</v>
      </c>
      <c r="F31" s="1">
        <v>44896</v>
      </c>
      <c r="G31" s="8">
        <v>3800000</v>
      </c>
      <c r="H31" s="1">
        <v>45905</v>
      </c>
      <c r="I31" s="8"/>
      <c r="J31" s="1"/>
      <c r="K31" s="1"/>
      <c r="L31" s="2">
        <f>DATEDIF(F31,"2023-1-1","d")</f>
        <v>31</v>
      </c>
      <c r="M31" s="9"/>
      <c r="N31" s="10" t="s">
        <v>80</v>
      </c>
      <c r="O31" s="26" t="s">
        <v>104</v>
      </c>
      <c r="P31" s="28" t="s">
        <v>105</v>
      </c>
      <c r="Q31" s="43" t="s">
        <v>106</v>
      </c>
      <c r="R31" s="31" t="s">
        <v>107</v>
      </c>
      <c r="S31" s="37"/>
      <c r="T31" s="37"/>
      <c r="U31" s="47" t="s">
        <v>108</v>
      </c>
      <c r="X31" s="38"/>
      <c r="Y31" s="38"/>
      <c r="AA31" s="38"/>
    </row>
    <row r="32" spans="1:27" s="11" customFormat="1" ht="22.15" customHeight="1" x14ac:dyDescent="0.25">
      <c r="A32" s="62">
        <v>36</v>
      </c>
      <c r="B32" s="4" t="s">
        <v>109</v>
      </c>
      <c r="C32" s="5"/>
      <c r="D32" s="6" t="s">
        <v>110</v>
      </c>
      <c r="E32" s="7" t="s">
        <v>111</v>
      </c>
      <c r="F32" s="1">
        <v>44642</v>
      </c>
      <c r="G32" s="8">
        <v>519000</v>
      </c>
      <c r="H32" s="1">
        <v>45092</v>
      </c>
      <c r="I32" s="8"/>
      <c r="J32" s="1"/>
      <c r="K32" s="1"/>
      <c r="L32" s="2">
        <f>DATEDIF(F32,"2023-1-1","d")</f>
        <v>285</v>
      </c>
      <c r="M32" s="9"/>
      <c r="N32" s="10" t="s">
        <v>80</v>
      </c>
      <c r="O32" s="26" t="s">
        <v>112</v>
      </c>
      <c r="P32" s="28" t="s">
        <v>113</v>
      </c>
      <c r="Q32" s="43" t="s">
        <v>114</v>
      </c>
      <c r="R32" s="31" t="s">
        <v>115</v>
      </c>
      <c r="S32" s="37"/>
      <c r="T32" s="37"/>
      <c r="U32" s="47" t="s">
        <v>116</v>
      </c>
      <c r="X32" s="38"/>
      <c r="Y32" s="38"/>
      <c r="AA32" s="38"/>
    </row>
    <row r="33" spans="1:27" s="11" customFormat="1" ht="22.15" customHeight="1" x14ac:dyDescent="0.25">
      <c r="A33" s="62">
        <v>36</v>
      </c>
      <c r="B33" s="4" t="s">
        <v>109</v>
      </c>
      <c r="C33" s="5"/>
      <c r="D33" s="6" t="s">
        <v>110</v>
      </c>
      <c r="E33" s="7" t="s">
        <v>111</v>
      </c>
      <c r="F33" s="1">
        <v>44644</v>
      </c>
      <c r="G33" s="8">
        <v>900000</v>
      </c>
      <c r="H33" s="1">
        <v>45092</v>
      </c>
      <c r="I33" s="8"/>
      <c r="J33" s="1"/>
      <c r="K33" s="1"/>
      <c r="L33" s="2">
        <f t="shared" ref="L33:L55" si="5">DATEDIF(F33,"2023-1-1","d")</f>
        <v>283</v>
      </c>
      <c r="M33" s="9"/>
      <c r="N33" s="10" t="s">
        <v>80</v>
      </c>
      <c r="O33" s="26"/>
      <c r="P33" s="28"/>
      <c r="Q33" s="43"/>
      <c r="R33" s="31"/>
      <c r="S33" s="37"/>
      <c r="T33" s="37"/>
      <c r="U33" s="47" t="s">
        <v>116</v>
      </c>
      <c r="X33" s="38"/>
      <c r="Y33" s="38"/>
      <c r="AA33" s="38"/>
    </row>
    <row r="34" spans="1:27" s="11" customFormat="1" ht="22.15" customHeight="1" x14ac:dyDescent="0.25">
      <c r="A34" s="62">
        <v>36</v>
      </c>
      <c r="B34" s="4" t="s">
        <v>109</v>
      </c>
      <c r="C34" s="5"/>
      <c r="D34" s="6" t="s">
        <v>110</v>
      </c>
      <c r="E34" s="7" t="s">
        <v>111</v>
      </c>
      <c r="F34" s="1">
        <v>44658</v>
      </c>
      <c r="G34" s="8">
        <v>81000</v>
      </c>
      <c r="H34" s="1">
        <v>45092</v>
      </c>
      <c r="I34" s="8"/>
      <c r="J34" s="1"/>
      <c r="K34" s="1"/>
      <c r="L34" s="2">
        <f t="shared" si="5"/>
        <v>269</v>
      </c>
      <c r="M34" s="9"/>
      <c r="N34" s="10" t="s">
        <v>80</v>
      </c>
      <c r="O34" s="26"/>
      <c r="P34" s="28"/>
      <c r="Q34" s="43"/>
      <c r="R34" s="31"/>
      <c r="S34" s="37"/>
      <c r="T34" s="37"/>
      <c r="U34" s="47" t="s">
        <v>117</v>
      </c>
      <c r="X34" s="38"/>
      <c r="Y34" s="38"/>
      <c r="AA34" s="38"/>
    </row>
    <row r="35" spans="1:27" s="11" customFormat="1" ht="22.15" customHeight="1" x14ac:dyDescent="0.25">
      <c r="A35" s="62">
        <v>36</v>
      </c>
      <c r="B35" s="4" t="s">
        <v>109</v>
      </c>
      <c r="C35" s="5"/>
      <c r="D35" s="6" t="s">
        <v>110</v>
      </c>
      <c r="E35" s="7" t="s">
        <v>111</v>
      </c>
      <c r="F35" s="1">
        <v>44658</v>
      </c>
      <c r="G35" s="8">
        <v>1500000</v>
      </c>
      <c r="H35" s="1">
        <v>45245</v>
      </c>
      <c r="I35" s="8"/>
      <c r="J35" s="1"/>
      <c r="K35" s="1"/>
      <c r="L35" s="2">
        <f t="shared" si="5"/>
        <v>269</v>
      </c>
      <c r="M35" s="9"/>
      <c r="N35" s="10" t="s">
        <v>80</v>
      </c>
      <c r="O35" s="26"/>
      <c r="P35" s="28"/>
      <c r="Q35" s="43"/>
      <c r="R35" s="31"/>
      <c r="S35" s="37"/>
      <c r="T35" s="37"/>
      <c r="U35" s="47" t="s">
        <v>117</v>
      </c>
      <c r="X35" s="38"/>
      <c r="Y35" s="38"/>
      <c r="AA35" s="38"/>
    </row>
    <row r="36" spans="1:27" s="11" customFormat="1" ht="22.15" customHeight="1" x14ac:dyDescent="0.25">
      <c r="A36" s="62">
        <v>36</v>
      </c>
      <c r="B36" s="4" t="s">
        <v>109</v>
      </c>
      <c r="C36" s="5"/>
      <c r="D36" s="6" t="s">
        <v>110</v>
      </c>
      <c r="E36" s="7" t="s">
        <v>111</v>
      </c>
      <c r="F36" s="1">
        <v>44658</v>
      </c>
      <c r="G36" s="8">
        <v>219000</v>
      </c>
      <c r="H36" s="1">
        <v>45458</v>
      </c>
      <c r="I36" s="8"/>
      <c r="J36" s="1"/>
      <c r="K36" s="1"/>
      <c r="L36" s="2">
        <f t="shared" si="5"/>
        <v>269</v>
      </c>
      <c r="M36" s="9"/>
      <c r="N36" s="10" t="s">
        <v>80</v>
      </c>
      <c r="O36" s="26"/>
      <c r="P36" s="28"/>
      <c r="Q36" s="43"/>
      <c r="R36" s="31"/>
      <c r="S36" s="37"/>
      <c r="T36" s="37"/>
      <c r="U36" s="47" t="s">
        <v>117</v>
      </c>
      <c r="X36" s="38"/>
      <c r="Y36" s="38"/>
      <c r="AA36" s="38"/>
    </row>
    <row r="37" spans="1:27" s="11" customFormat="1" ht="22.15" customHeight="1" x14ac:dyDescent="0.25">
      <c r="A37" s="62">
        <v>36</v>
      </c>
      <c r="B37" s="4" t="s">
        <v>109</v>
      </c>
      <c r="C37" s="5"/>
      <c r="D37" s="6" t="s">
        <v>110</v>
      </c>
      <c r="E37" s="7" t="s">
        <v>111</v>
      </c>
      <c r="F37" s="1">
        <v>44679</v>
      </c>
      <c r="G37" s="8">
        <v>519000</v>
      </c>
      <c r="H37" s="1">
        <v>45458</v>
      </c>
      <c r="I37" s="8"/>
      <c r="J37" s="1"/>
      <c r="K37" s="1"/>
      <c r="L37" s="2">
        <f t="shared" si="5"/>
        <v>248</v>
      </c>
      <c r="M37" s="9"/>
      <c r="N37" s="10" t="s">
        <v>80</v>
      </c>
      <c r="O37" s="26"/>
      <c r="P37" s="28"/>
      <c r="Q37" s="43"/>
      <c r="R37" s="31"/>
      <c r="S37" s="37"/>
      <c r="T37" s="37"/>
      <c r="U37" s="47" t="s">
        <v>117</v>
      </c>
      <c r="X37" s="38"/>
      <c r="Y37" s="38"/>
      <c r="AA37" s="38"/>
    </row>
    <row r="38" spans="1:27" s="11" customFormat="1" ht="22.15" customHeight="1" x14ac:dyDescent="0.25">
      <c r="A38" s="62">
        <v>36</v>
      </c>
      <c r="B38" s="4" t="s">
        <v>109</v>
      </c>
      <c r="C38" s="5"/>
      <c r="D38" s="6" t="s">
        <v>110</v>
      </c>
      <c r="E38" s="7" t="s">
        <v>111</v>
      </c>
      <c r="F38" s="1">
        <v>44698</v>
      </c>
      <c r="G38" s="8">
        <v>2762000</v>
      </c>
      <c r="H38" s="1">
        <v>45458</v>
      </c>
      <c r="I38" s="8"/>
      <c r="J38" s="44"/>
      <c r="K38" s="44"/>
      <c r="L38" s="2">
        <f t="shared" si="5"/>
        <v>229</v>
      </c>
      <c r="M38" s="9"/>
      <c r="N38" s="10" t="s">
        <v>80</v>
      </c>
      <c r="O38" s="26"/>
      <c r="P38" s="28"/>
      <c r="Q38" s="43"/>
      <c r="R38" s="31"/>
      <c r="S38" s="37"/>
      <c r="T38" s="45">
        <v>4.7E-2</v>
      </c>
      <c r="U38" s="47" t="s">
        <v>117</v>
      </c>
      <c r="X38" s="38"/>
      <c r="Y38" s="38"/>
      <c r="AA38" s="38"/>
    </row>
    <row r="39" spans="1:27" s="11" customFormat="1" ht="22.15" customHeight="1" x14ac:dyDescent="0.25">
      <c r="A39" s="62">
        <v>36</v>
      </c>
      <c r="B39" s="4" t="s">
        <v>109</v>
      </c>
      <c r="C39" s="5"/>
      <c r="D39" s="6" t="s">
        <v>110</v>
      </c>
      <c r="E39" s="7" t="s">
        <v>111</v>
      </c>
      <c r="F39" s="1">
        <v>44698</v>
      </c>
      <c r="G39" s="8">
        <v>2238000</v>
      </c>
      <c r="H39" s="1">
        <v>45611</v>
      </c>
      <c r="I39" s="8"/>
      <c r="J39" s="44"/>
      <c r="K39" s="44"/>
      <c r="L39" s="2">
        <f t="shared" si="5"/>
        <v>229</v>
      </c>
      <c r="M39" s="9"/>
      <c r="N39" s="10" t="s">
        <v>80</v>
      </c>
      <c r="O39" s="26"/>
      <c r="P39" s="28"/>
      <c r="Q39" s="43"/>
      <c r="R39" s="31"/>
      <c r="S39" s="37"/>
      <c r="T39" s="45">
        <v>4.7E-2</v>
      </c>
      <c r="U39" s="47" t="s">
        <v>117</v>
      </c>
      <c r="X39" s="38"/>
      <c r="Y39" s="38"/>
      <c r="AA39" s="38"/>
    </row>
    <row r="40" spans="1:27" s="11" customFormat="1" ht="22.15" customHeight="1" x14ac:dyDescent="0.25">
      <c r="A40" s="62">
        <v>36</v>
      </c>
      <c r="B40" s="4" t="s">
        <v>109</v>
      </c>
      <c r="C40" s="5"/>
      <c r="D40" s="6" t="s">
        <v>110</v>
      </c>
      <c r="E40" s="7" t="s">
        <v>111</v>
      </c>
      <c r="F40" s="1">
        <v>44711</v>
      </c>
      <c r="G40" s="8">
        <v>519000</v>
      </c>
      <c r="H40" s="1">
        <v>45611</v>
      </c>
      <c r="I40" s="8"/>
      <c r="J40" s="34"/>
      <c r="K40" s="34"/>
      <c r="L40" s="2">
        <f t="shared" si="5"/>
        <v>216</v>
      </c>
      <c r="M40" s="9"/>
      <c r="N40" s="10" t="s">
        <v>80</v>
      </c>
      <c r="O40" s="26"/>
      <c r="P40" s="28"/>
      <c r="Q40" s="43"/>
      <c r="R40" s="31"/>
      <c r="S40" s="37"/>
      <c r="T40" s="45">
        <v>4.5999999999999999E-2</v>
      </c>
      <c r="U40" s="47" t="s">
        <v>117</v>
      </c>
      <c r="X40" s="38"/>
      <c r="Y40" s="38"/>
      <c r="AA40" s="38"/>
    </row>
    <row r="41" spans="1:27" s="11" customFormat="1" ht="22.15" customHeight="1" x14ac:dyDescent="0.25">
      <c r="A41" s="62">
        <v>36</v>
      </c>
      <c r="B41" s="4" t="s">
        <v>109</v>
      </c>
      <c r="C41" s="5"/>
      <c r="D41" s="6" t="s">
        <v>110</v>
      </c>
      <c r="E41" s="7" t="s">
        <v>111</v>
      </c>
      <c r="F41" s="1">
        <v>44713</v>
      </c>
      <c r="G41" s="8">
        <v>743000</v>
      </c>
      <c r="H41" s="1">
        <v>45611</v>
      </c>
      <c r="I41" s="8"/>
      <c r="J41" s="34"/>
      <c r="K41" s="34"/>
      <c r="L41" s="2">
        <f t="shared" si="5"/>
        <v>214</v>
      </c>
      <c r="M41" s="9"/>
      <c r="N41" s="10" t="s">
        <v>80</v>
      </c>
      <c r="O41" s="26"/>
      <c r="P41" s="28"/>
      <c r="Q41" s="43"/>
      <c r="R41" s="31"/>
      <c r="S41" s="37"/>
      <c r="T41" s="45">
        <v>4.5999999999999999E-2</v>
      </c>
      <c r="U41" s="47" t="s">
        <v>117</v>
      </c>
      <c r="X41" s="38"/>
      <c r="Y41" s="38"/>
      <c r="AA41" s="38"/>
    </row>
    <row r="42" spans="1:27" s="11" customFormat="1" ht="22.15" customHeight="1" x14ac:dyDescent="0.25">
      <c r="A42" s="62">
        <v>36</v>
      </c>
      <c r="B42" s="4" t="s">
        <v>109</v>
      </c>
      <c r="C42" s="5"/>
      <c r="D42" s="6" t="s">
        <v>110</v>
      </c>
      <c r="E42" s="7" t="s">
        <v>111</v>
      </c>
      <c r="F42" s="1">
        <v>44713</v>
      </c>
      <c r="G42" s="8">
        <v>257000</v>
      </c>
      <c r="H42" s="1">
        <v>45823</v>
      </c>
      <c r="I42" s="8"/>
      <c r="J42" s="34"/>
      <c r="K42" s="34"/>
      <c r="L42" s="2">
        <f t="shared" si="5"/>
        <v>214</v>
      </c>
      <c r="M42" s="9"/>
      <c r="N42" s="10" t="s">
        <v>80</v>
      </c>
      <c r="O42" s="26"/>
      <c r="P42" s="28"/>
      <c r="Q42" s="43"/>
      <c r="R42" s="31"/>
      <c r="S42" s="37"/>
      <c r="T42" s="45">
        <v>4.5999999999999999E-2</v>
      </c>
      <c r="U42" s="47" t="s">
        <v>117</v>
      </c>
      <c r="X42" s="38"/>
      <c r="Y42" s="38"/>
      <c r="AA42" s="38"/>
    </row>
    <row r="43" spans="1:27" s="11" customFormat="1" ht="22.15" customHeight="1" x14ac:dyDescent="0.25">
      <c r="A43" s="62">
        <v>36</v>
      </c>
      <c r="B43" s="4" t="s">
        <v>109</v>
      </c>
      <c r="C43" s="5"/>
      <c r="D43" s="6" t="s">
        <v>110</v>
      </c>
      <c r="E43" s="7" t="s">
        <v>111</v>
      </c>
      <c r="F43" s="1">
        <v>44742</v>
      </c>
      <c r="G43" s="8">
        <v>519000</v>
      </c>
      <c r="H43" s="1">
        <v>45823</v>
      </c>
      <c r="I43" s="8"/>
      <c r="J43" s="34"/>
      <c r="K43" s="34"/>
      <c r="L43" s="2">
        <f t="shared" si="5"/>
        <v>185</v>
      </c>
      <c r="M43" s="9"/>
      <c r="N43" s="10" t="s">
        <v>80</v>
      </c>
      <c r="O43" s="26"/>
      <c r="P43" s="28"/>
      <c r="Q43" s="43"/>
      <c r="R43" s="31"/>
      <c r="S43" s="37"/>
      <c r="T43" s="45">
        <v>4.1500000000000002E-2</v>
      </c>
      <c r="U43" s="47" t="s">
        <v>117</v>
      </c>
      <c r="X43" s="38"/>
      <c r="Y43" s="38"/>
      <c r="AA43" s="38"/>
    </row>
    <row r="44" spans="1:27" s="11" customFormat="1" ht="22.15" customHeight="1" x14ac:dyDescent="0.25">
      <c r="A44" s="62">
        <v>36</v>
      </c>
      <c r="B44" s="4" t="s">
        <v>109</v>
      </c>
      <c r="C44" s="5"/>
      <c r="D44" s="6" t="s">
        <v>110</v>
      </c>
      <c r="E44" s="7" t="s">
        <v>111</v>
      </c>
      <c r="F44" s="1">
        <v>44874</v>
      </c>
      <c r="G44" s="8">
        <v>817500</v>
      </c>
      <c r="H44" s="1">
        <v>45823</v>
      </c>
      <c r="I44" s="8"/>
      <c r="J44" s="1"/>
      <c r="K44" s="1"/>
      <c r="L44" s="2">
        <f t="shared" si="5"/>
        <v>53</v>
      </c>
      <c r="M44" s="9"/>
      <c r="N44" s="10" t="s">
        <v>80</v>
      </c>
      <c r="O44" s="26"/>
      <c r="P44" s="28"/>
      <c r="Q44" s="43"/>
      <c r="R44" s="31"/>
      <c r="S44" s="37"/>
      <c r="T44" s="37"/>
      <c r="U44" s="47" t="s">
        <v>117</v>
      </c>
      <c r="X44" s="38"/>
      <c r="Y44" s="38"/>
      <c r="AA44" s="38"/>
    </row>
    <row r="45" spans="1:27" s="11" customFormat="1" ht="22.15" customHeight="1" x14ac:dyDescent="0.25">
      <c r="A45" s="62">
        <v>36</v>
      </c>
      <c r="B45" s="4" t="s">
        <v>109</v>
      </c>
      <c r="C45" s="5"/>
      <c r="D45" s="6" t="s">
        <v>110</v>
      </c>
      <c r="E45" s="7" t="s">
        <v>111</v>
      </c>
      <c r="F45" s="1">
        <v>44890</v>
      </c>
      <c r="G45" s="8">
        <v>3406500</v>
      </c>
      <c r="H45" s="1">
        <v>45823</v>
      </c>
      <c r="I45" s="8"/>
      <c r="J45" s="34"/>
      <c r="K45" s="34"/>
      <c r="L45" s="2">
        <f t="shared" si="5"/>
        <v>37</v>
      </c>
      <c r="M45" s="9"/>
      <c r="N45" s="10" t="s">
        <v>80</v>
      </c>
      <c r="O45" s="26"/>
      <c r="P45" s="28"/>
      <c r="Q45" s="43"/>
      <c r="R45" s="31"/>
      <c r="S45" s="37"/>
      <c r="T45" s="37"/>
      <c r="U45" s="47" t="s">
        <v>117</v>
      </c>
      <c r="X45" s="38"/>
      <c r="Y45" s="38"/>
      <c r="AA45" s="38"/>
    </row>
    <row r="46" spans="1:27" s="11" customFormat="1" ht="22.15" customHeight="1" x14ac:dyDescent="0.25">
      <c r="A46" s="62">
        <v>36</v>
      </c>
      <c r="B46" s="4" t="s">
        <v>109</v>
      </c>
      <c r="C46" s="5"/>
      <c r="D46" s="6" t="s">
        <v>110</v>
      </c>
      <c r="E46" s="7" t="s">
        <v>111</v>
      </c>
      <c r="F46" s="1">
        <v>44890</v>
      </c>
      <c r="G46" s="8">
        <v>1593500</v>
      </c>
      <c r="H46" s="1">
        <v>45976</v>
      </c>
      <c r="I46" s="8"/>
      <c r="J46" s="1"/>
      <c r="K46" s="1"/>
      <c r="L46" s="2">
        <f t="shared" si="5"/>
        <v>37</v>
      </c>
      <c r="M46" s="9"/>
      <c r="N46" s="10" t="s">
        <v>80</v>
      </c>
      <c r="O46" s="26"/>
      <c r="P46" s="28"/>
      <c r="Q46" s="43"/>
      <c r="R46" s="31"/>
      <c r="S46" s="37"/>
      <c r="T46" s="37"/>
      <c r="U46" s="47" t="s">
        <v>117</v>
      </c>
      <c r="X46" s="38"/>
      <c r="Y46" s="38"/>
      <c r="AA46" s="38"/>
    </row>
    <row r="47" spans="1:27" s="11" customFormat="1" ht="22.15" customHeight="1" x14ac:dyDescent="0.25">
      <c r="A47" s="3">
        <v>37</v>
      </c>
      <c r="B47" s="4" t="s">
        <v>118</v>
      </c>
      <c r="C47" s="5"/>
      <c r="D47" s="6" t="s">
        <v>119</v>
      </c>
      <c r="E47" s="7" t="s">
        <v>120</v>
      </c>
      <c r="F47" s="1">
        <v>44761</v>
      </c>
      <c r="G47" s="8">
        <v>1270000</v>
      </c>
      <c r="H47" s="1">
        <v>45835</v>
      </c>
      <c r="I47" s="8"/>
      <c r="J47" s="1"/>
      <c r="K47" s="1"/>
      <c r="L47" s="2">
        <f t="shared" si="5"/>
        <v>166</v>
      </c>
      <c r="M47" s="9"/>
      <c r="N47" s="10" t="s">
        <v>80</v>
      </c>
      <c r="O47" s="26" t="s">
        <v>121</v>
      </c>
      <c r="P47" s="28" t="s">
        <v>122</v>
      </c>
      <c r="Q47" s="43" t="s">
        <v>123</v>
      </c>
      <c r="R47" s="31" t="s">
        <v>22</v>
      </c>
      <c r="S47" s="37"/>
      <c r="T47" s="37"/>
      <c r="U47" s="47"/>
      <c r="X47" s="38"/>
      <c r="Y47" s="38"/>
      <c r="AA47" s="38"/>
    </row>
    <row r="48" spans="1:27" s="11" customFormat="1" ht="22.15" customHeight="1" x14ac:dyDescent="0.25">
      <c r="A48" s="3">
        <v>37</v>
      </c>
      <c r="B48" s="4" t="s">
        <v>118</v>
      </c>
      <c r="C48" s="5"/>
      <c r="D48" s="6" t="s">
        <v>119</v>
      </c>
      <c r="E48" s="7" t="s">
        <v>120</v>
      </c>
      <c r="F48" s="1">
        <v>44769</v>
      </c>
      <c r="G48" s="8">
        <v>12980000</v>
      </c>
      <c r="H48" s="1">
        <v>45835</v>
      </c>
      <c r="I48" s="8"/>
      <c r="J48" s="1"/>
      <c r="K48" s="1"/>
      <c r="L48" s="2">
        <f t="shared" si="5"/>
        <v>158</v>
      </c>
      <c r="M48" s="9"/>
      <c r="N48" s="10" t="s">
        <v>80</v>
      </c>
      <c r="O48" s="26"/>
      <c r="P48" s="28"/>
      <c r="Q48" s="27"/>
      <c r="R48" s="31"/>
      <c r="S48" s="37"/>
      <c r="T48" s="37"/>
      <c r="U48" s="37"/>
      <c r="X48" s="38"/>
      <c r="Y48" s="38"/>
      <c r="AA48" s="38"/>
    </row>
    <row r="49" spans="1:27" s="11" customFormat="1" ht="22.15" customHeight="1" x14ac:dyDescent="0.25">
      <c r="A49" s="3">
        <v>37</v>
      </c>
      <c r="B49" s="4" t="s">
        <v>118</v>
      </c>
      <c r="C49" s="5"/>
      <c r="D49" s="6" t="s">
        <v>119</v>
      </c>
      <c r="E49" s="7" t="s">
        <v>120</v>
      </c>
      <c r="F49" s="1">
        <v>44778</v>
      </c>
      <c r="G49" s="8">
        <v>2250000</v>
      </c>
      <c r="H49" s="1">
        <v>45835</v>
      </c>
      <c r="I49" s="8"/>
      <c r="J49" s="1"/>
      <c r="K49" s="1"/>
      <c r="L49" s="2">
        <f t="shared" si="5"/>
        <v>149</v>
      </c>
      <c r="M49" s="9"/>
      <c r="N49" s="10" t="s">
        <v>80</v>
      </c>
      <c r="O49" s="26"/>
      <c r="P49" s="28"/>
      <c r="Q49" s="27"/>
      <c r="R49" s="31"/>
      <c r="S49" s="37"/>
      <c r="T49" s="37"/>
      <c r="U49" s="37"/>
      <c r="X49" s="38"/>
      <c r="Y49" s="38"/>
      <c r="AA49" s="38"/>
    </row>
    <row r="50" spans="1:27" s="11" customFormat="1" ht="22.15" customHeight="1" x14ac:dyDescent="0.25">
      <c r="A50" s="3">
        <v>37</v>
      </c>
      <c r="B50" s="4" t="s">
        <v>118</v>
      </c>
      <c r="C50" s="5"/>
      <c r="D50" s="6" t="s">
        <v>119</v>
      </c>
      <c r="E50" s="7" t="s">
        <v>124</v>
      </c>
      <c r="F50" s="1">
        <v>44922</v>
      </c>
      <c r="G50" s="8">
        <v>17500000</v>
      </c>
      <c r="H50" s="1">
        <v>47101</v>
      </c>
      <c r="I50" s="8"/>
      <c r="J50" s="1"/>
      <c r="K50" s="1"/>
      <c r="L50" s="2">
        <f t="shared" si="5"/>
        <v>5</v>
      </c>
      <c r="M50" s="9"/>
      <c r="N50" s="10" t="s">
        <v>80</v>
      </c>
      <c r="O50" s="26"/>
      <c r="P50" s="28"/>
      <c r="Q50" s="27"/>
      <c r="R50" s="31"/>
      <c r="S50" s="37"/>
      <c r="T50" s="37"/>
      <c r="U50" s="47"/>
      <c r="X50" s="38"/>
      <c r="Y50" s="38"/>
      <c r="AA50" s="38"/>
    </row>
    <row r="51" spans="1:27" s="11" customFormat="1" ht="22.15" customHeight="1" x14ac:dyDescent="0.25">
      <c r="A51" s="3">
        <v>38</v>
      </c>
      <c r="B51" s="4" t="s">
        <v>125</v>
      </c>
      <c r="C51" s="5"/>
      <c r="D51" s="6" t="s">
        <v>119</v>
      </c>
      <c r="E51" s="7" t="s">
        <v>126</v>
      </c>
      <c r="F51" s="1">
        <v>44832</v>
      </c>
      <c r="G51" s="8">
        <v>4000000</v>
      </c>
      <c r="H51" s="1">
        <v>45288</v>
      </c>
      <c r="I51" s="8"/>
      <c r="J51" s="1"/>
      <c r="K51" s="1"/>
      <c r="L51" s="2">
        <f t="shared" si="5"/>
        <v>95</v>
      </c>
      <c r="M51" s="9"/>
      <c r="N51" s="10" t="s">
        <v>80</v>
      </c>
      <c r="O51" s="26" t="s">
        <v>127</v>
      </c>
      <c r="P51" s="28" t="s">
        <v>128</v>
      </c>
      <c r="Q51" s="27" t="s">
        <v>129</v>
      </c>
      <c r="R51" s="31" t="s">
        <v>130</v>
      </c>
      <c r="S51" s="37"/>
      <c r="T51" s="37"/>
      <c r="U51" s="37"/>
      <c r="X51" s="38"/>
      <c r="Y51" s="38"/>
      <c r="AA51" s="38"/>
    </row>
    <row r="52" spans="1:27" s="11" customFormat="1" ht="22.15" customHeight="1" x14ac:dyDescent="0.25">
      <c r="A52" s="3">
        <v>38</v>
      </c>
      <c r="B52" s="4" t="s">
        <v>125</v>
      </c>
      <c r="C52" s="5"/>
      <c r="D52" s="6" t="s">
        <v>119</v>
      </c>
      <c r="E52" s="7" t="s">
        <v>126</v>
      </c>
      <c r="F52" s="1">
        <v>44832</v>
      </c>
      <c r="G52" s="8">
        <v>3000000</v>
      </c>
      <c r="H52" s="1">
        <v>45208</v>
      </c>
      <c r="I52" s="8"/>
      <c r="J52" s="1"/>
      <c r="K52" s="1"/>
      <c r="L52" s="2">
        <f t="shared" si="5"/>
        <v>95</v>
      </c>
      <c r="M52" s="9"/>
      <c r="N52" s="10" t="s">
        <v>80</v>
      </c>
      <c r="O52" s="26" t="s">
        <v>127</v>
      </c>
      <c r="P52" s="28" t="s">
        <v>128</v>
      </c>
      <c r="Q52" s="27"/>
      <c r="R52" s="31"/>
      <c r="S52" s="37"/>
      <c r="T52" s="37"/>
      <c r="U52" s="37"/>
      <c r="X52" s="38"/>
      <c r="Y52" s="38"/>
      <c r="AA52" s="38"/>
    </row>
    <row r="53" spans="1:27" s="11" customFormat="1" ht="22.15" customHeight="1" x14ac:dyDescent="0.25">
      <c r="A53" s="3">
        <v>38</v>
      </c>
      <c r="B53" s="4" t="s">
        <v>125</v>
      </c>
      <c r="C53" s="5"/>
      <c r="D53" s="6" t="s">
        <v>119</v>
      </c>
      <c r="E53" s="7" t="s">
        <v>126</v>
      </c>
      <c r="F53" s="1">
        <v>44832</v>
      </c>
      <c r="G53" s="8">
        <v>2000000</v>
      </c>
      <c r="H53" s="1">
        <v>45383</v>
      </c>
      <c r="I53" s="8"/>
      <c r="J53" s="1"/>
      <c r="K53" s="1"/>
      <c r="L53" s="2">
        <f t="shared" si="5"/>
        <v>95</v>
      </c>
      <c r="M53" s="9"/>
      <c r="N53" s="10" t="s">
        <v>80</v>
      </c>
      <c r="O53" s="26" t="s">
        <v>127</v>
      </c>
      <c r="P53" s="28" t="s">
        <v>128</v>
      </c>
      <c r="Q53" s="27"/>
      <c r="R53" s="31"/>
      <c r="S53" s="37"/>
      <c r="T53" s="37"/>
      <c r="U53" s="37"/>
      <c r="X53" s="38"/>
      <c r="Y53" s="38"/>
      <c r="AA53" s="38"/>
    </row>
    <row r="54" spans="1:27" s="11" customFormat="1" ht="22.15" customHeight="1" x14ac:dyDescent="0.25">
      <c r="A54" s="3">
        <v>38</v>
      </c>
      <c r="B54" s="4" t="s">
        <v>125</v>
      </c>
      <c r="C54" s="5"/>
      <c r="D54" s="6" t="s">
        <v>119</v>
      </c>
      <c r="E54" s="7" t="s">
        <v>131</v>
      </c>
      <c r="F54" s="1">
        <v>44865</v>
      </c>
      <c r="G54" s="8">
        <v>4900000</v>
      </c>
      <c r="H54" s="1">
        <v>45474</v>
      </c>
      <c r="I54" s="8"/>
      <c r="J54" s="1"/>
      <c r="K54" s="1"/>
      <c r="L54" s="2">
        <f t="shared" si="5"/>
        <v>62</v>
      </c>
      <c r="M54" s="9"/>
      <c r="N54" s="10" t="s">
        <v>80</v>
      </c>
      <c r="O54" s="26" t="s">
        <v>127</v>
      </c>
      <c r="P54" s="28" t="s">
        <v>128</v>
      </c>
      <c r="Q54" s="27"/>
      <c r="R54" s="31"/>
      <c r="S54" s="37"/>
      <c r="T54" s="37"/>
      <c r="U54" s="37"/>
      <c r="X54" s="38"/>
      <c r="Y54" s="38"/>
      <c r="AA54" s="38"/>
    </row>
    <row r="55" spans="1:27" s="11" customFormat="1" ht="22.15" customHeight="1" x14ac:dyDescent="0.25">
      <c r="A55" s="3">
        <v>38</v>
      </c>
      <c r="B55" s="4" t="s">
        <v>125</v>
      </c>
      <c r="C55" s="5"/>
      <c r="D55" s="6" t="s">
        <v>119</v>
      </c>
      <c r="E55" s="7" t="s">
        <v>131</v>
      </c>
      <c r="F55" s="1">
        <v>44896</v>
      </c>
      <c r="G55" s="8">
        <v>4900000</v>
      </c>
      <c r="H55" s="1">
        <v>45573</v>
      </c>
      <c r="I55" s="8"/>
      <c r="J55" s="1"/>
      <c r="K55" s="1"/>
      <c r="L55" s="2">
        <f t="shared" si="5"/>
        <v>31</v>
      </c>
      <c r="M55" s="9"/>
      <c r="N55" s="10" t="s">
        <v>80</v>
      </c>
      <c r="O55" s="26" t="s">
        <v>127</v>
      </c>
      <c r="P55" s="28" t="s">
        <v>128</v>
      </c>
      <c r="Q55" s="27"/>
      <c r="R55" s="31"/>
      <c r="S55" s="37"/>
      <c r="T55" s="37"/>
      <c r="U55" s="37"/>
      <c r="X55" s="38"/>
      <c r="Y55" s="38"/>
      <c r="AA55" s="38"/>
    </row>
    <row r="56" spans="1:27" s="59" customFormat="1" ht="22.15" customHeight="1" x14ac:dyDescent="0.25">
      <c r="A56" s="48">
        <v>39</v>
      </c>
      <c r="B56" s="49" t="s">
        <v>132</v>
      </c>
      <c r="C56" s="50"/>
      <c r="D56" s="51" t="s">
        <v>133</v>
      </c>
      <c r="E56" s="52" t="s">
        <v>134</v>
      </c>
      <c r="F56" s="53">
        <v>44573</v>
      </c>
      <c r="G56" s="54">
        <v>3258969</v>
      </c>
      <c r="H56" s="53">
        <v>44677</v>
      </c>
      <c r="I56" s="54">
        <v>3258969</v>
      </c>
      <c r="J56" s="53">
        <v>44677</v>
      </c>
      <c r="K56" s="53"/>
      <c r="L56" s="55"/>
      <c r="M56" s="56"/>
      <c r="N56" s="57" t="s">
        <v>80</v>
      </c>
      <c r="O56" s="64" t="s">
        <v>135</v>
      </c>
      <c r="P56" s="65" t="s">
        <v>136</v>
      </c>
      <c r="Q56" s="68" t="s">
        <v>137</v>
      </c>
      <c r="R56" s="51" t="s">
        <v>133</v>
      </c>
      <c r="S56" s="58"/>
      <c r="T56" s="58"/>
      <c r="U56" s="58" t="s">
        <v>85</v>
      </c>
      <c r="X56" s="60"/>
      <c r="Y56" s="60"/>
      <c r="AA56" s="60"/>
    </row>
    <row r="57" spans="1:27" s="59" customFormat="1" ht="22.15" customHeight="1" x14ac:dyDescent="0.25">
      <c r="A57" s="48">
        <v>39</v>
      </c>
      <c r="B57" s="49" t="s">
        <v>132</v>
      </c>
      <c r="C57" s="50"/>
      <c r="D57" s="51" t="s">
        <v>133</v>
      </c>
      <c r="E57" s="52" t="s">
        <v>138</v>
      </c>
      <c r="F57" s="53">
        <v>44578</v>
      </c>
      <c r="G57" s="54">
        <v>3685753</v>
      </c>
      <c r="H57" s="53">
        <v>44677</v>
      </c>
      <c r="I57" s="54">
        <v>3685753</v>
      </c>
      <c r="J57" s="53">
        <v>44677</v>
      </c>
      <c r="K57" s="53"/>
      <c r="L57" s="55"/>
      <c r="M57" s="56"/>
      <c r="N57" s="57" t="s">
        <v>80</v>
      </c>
      <c r="O57" s="64" t="s">
        <v>135</v>
      </c>
      <c r="P57" s="65" t="s">
        <v>136</v>
      </c>
      <c r="Q57" s="68"/>
      <c r="R57" s="67"/>
      <c r="S57" s="58"/>
      <c r="T57" s="58"/>
      <c r="U57" s="58" t="s">
        <v>85</v>
      </c>
      <c r="X57" s="60"/>
      <c r="Y57" s="60"/>
      <c r="AA57" s="60"/>
    </row>
    <row r="58" spans="1:27" s="59" customFormat="1" ht="22.15" customHeight="1" x14ac:dyDescent="0.25">
      <c r="A58" s="48">
        <v>39</v>
      </c>
      <c r="B58" s="49" t="s">
        <v>132</v>
      </c>
      <c r="C58" s="50"/>
      <c r="D58" s="51" t="s">
        <v>133</v>
      </c>
      <c r="E58" s="52" t="s">
        <v>139</v>
      </c>
      <c r="F58" s="53">
        <v>44586</v>
      </c>
      <c r="G58" s="54">
        <v>47412817.539999999</v>
      </c>
      <c r="H58" s="53">
        <v>44677</v>
      </c>
      <c r="I58" s="54">
        <v>47412817.539999999</v>
      </c>
      <c r="J58" s="53">
        <v>44677</v>
      </c>
      <c r="K58" s="53"/>
      <c r="L58" s="55"/>
      <c r="M58" s="56"/>
      <c r="N58" s="57" t="s">
        <v>80</v>
      </c>
      <c r="O58" s="64" t="s">
        <v>135</v>
      </c>
      <c r="P58" s="65" t="s">
        <v>136</v>
      </c>
      <c r="Q58" s="68"/>
      <c r="R58" s="67"/>
      <c r="S58" s="58"/>
      <c r="T58" s="58"/>
      <c r="U58" s="58" t="s">
        <v>85</v>
      </c>
      <c r="X58" s="60"/>
      <c r="Y58" s="60"/>
      <c r="AA58" s="60"/>
    </row>
    <row r="59" spans="1:27" s="59" customFormat="1" ht="22.15" customHeight="1" x14ac:dyDescent="0.25">
      <c r="A59" s="48">
        <v>39</v>
      </c>
      <c r="B59" s="49" t="s">
        <v>132</v>
      </c>
      <c r="C59" s="50"/>
      <c r="D59" s="51" t="s">
        <v>133</v>
      </c>
      <c r="E59" s="52" t="s">
        <v>140</v>
      </c>
      <c r="F59" s="53">
        <v>44627</v>
      </c>
      <c r="G59" s="54">
        <v>3400000</v>
      </c>
      <c r="H59" s="53">
        <v>44677</v>
      </c>
      <c r="I59" s="54">
        <v>3400000</v>
      </c>
      <c r="J59" s="53">
        <v>44677</v>
      </c>
      <c r="K59" s="53"/>
      <c r="L59" s="55"/>
      <c r="M59" s="56"/>
      <c r="N59" s="57" t="s">
        <v>80</v>
      </c>
      <c r="O59" s="64" t="s">
        <v>135</v>
      </c>
      <c r="P59" s="65" t="s">
        <v>136</v>
      </c>
      <c r="Q59" s="68"/>
      <c r="R59" s="67"/>
      <c r="S59" s="58"/>
      <c r="T59" s="58"/>
      <c r="U59" s="58" t="s">
        <v>85</v>
      </c>
      <c r="X59" s="60"/>
      <c r="Y59" s="60"/>
      <c r="AA59" s="60"/>
    </row>
    <row r="60" spans="1:27" s="59" customFormat="1" ht="22.15" customHeight="1" x14ac:dyDescent="0.25">
      <c r="A60" s="48">
        <v>39</v>
      </c>
      <c r="B60" s="49" t="s">
        <v>132</v>
      </c>
      <c r="C60" s="50"/>
      <c r="D60" s="51" t="s">
        <v>133</v>
      </c>
      <c r="E60" s="52" t="s">
        <v>141</v>
      </c>
      <c r="F60" s="53">
        <v>44645</v>
      </c>
      <c r="G60" s="54">
        <v>2873542.81</v>
      </c>
      <c r="H60" s="53">
        <v>44677</v>
      </c>
      <c r="I60" s="54">
        <v>2873542.81</v>
      </c>
      <c r="J60" s="53">
        <v>44677</v>
      </c>
      <c r="K60" s="53"/>
      <c r="L60" s="55"/>
      <c r="M60" s="56"/>
      <c r="N60" s="57" t="s">
        <v>80</v>
      </c>
      <c r="O60" s="64" t="s">
        <v>135</v>
      </c>
      <c r="P60" s="65" t="s">
        <v>136</v>
      </c>
      <c r="Q60" s="68"/>
      <c r="R60" s="67"/>
      <c r="S60" s="58"/>
      <c r="T60" s="58"/>
      <c r="U60" s="58" t="s">
        <v>85</v>
      </c>
      <c r="X60" s="60"/>
      <c r="Y60" s="60"/>
      <c r="AA60" s="60"/>
    </row>
    <row r="61" spans="1:27" s="59" customFormat="1" ht="22.15" customHeight="1" x14ac:dyDescent="0.25">
      <c r="A61" s="48">
        <v>39</v>
      </c>
      <c r="B61" s="49" t="s">
        <v>132</v>
      </c>
      <c r="C61" s="50"/>
      <c r="D61" s="51" t="s">
        <v>133</v>
      </c>
      <c r="E61" s="52" t="s">
        <v>142</v>
      </c>
      <c r="F61" s="53">
        <v>44664</v>
      </c>
      <c r="G61" s="54">
        <v>1000000</v>
      </c>
      <c r="H61" s="53">
        <v>44733</v>
      </c>
      <c r="I61" s="54">
        <v>1000000</v>
      </c>
      <c r="J61" s="53">
        <v>44733</v>
      </c>
      <c r="K61" s="53"/>
      <c r="L61" s="55"/>
      <c r="M61" s="56"/>
      <c r="N61" s="57" t="s">
        <v>80</v>
      </c>
      <c r="O61" s="64" t="s">
        <v>135</v>
      </c>
      <c r="P61" s="65" t="s">
        <v>136</v>
      </c>
      <c r="Q61" s="68"/>
      <c r="R61" s="67"/>
      <c r="S61" s="58"/>
      <c r="T61" s="58"/>
      <c r="U61" s="58" t="s">
        <v>85</v>
      </c>
      <c r="X61" s="60"/>
      <c r="Y61" s="60"/>
      <c r="AA61" s="60"/>
    </row>
    <row r="62" spans="1:27" s="11" customFormat="1" ht="22.15" customHeight="1" x14ac:dyDescent="0.25">
      <c r="A62" s="3">
        <v>39</v>
      </c>
      <c r="B62" s="4" t="s">
        <v>132</v>
      </c>
      <c r="C62" s="5"/>
      <c r="D62" s="6" t="s">
        <v>133</v>
      </c>
      <c r="E62" s="7" t="s">
        <v>142</v>
      </c>
      <c r="F62" s="1">
        <v>44664</v>
      </c>
      <c r="G62" s="8">
        <v>17000000</v>
      </c>
      <c r="H62" s="1">
        <v>45760</v>
      </c>
      <c r="I62" s="8">
        <v>17000000</v>
      </c>
      <c r="J62" s="1">
        <v>44886</v>
      </c>
      <c r="K62" s="1"/>
      <c r="L62" s="2">
        <f>DATEDIF("2022-7-1",J62,"d")</f>
        <v>143</v>
      </c>
      <c r="M62" s="9"/>
      <c r="N62" s="10" t="s">
        <v>80</v>
      </c>
      <c r="O62" s="26" t="s">
        <v>135</v>
      </c>
      <c r="P62" s="28" t="s">
        <v>136</v>
      </c>
      <c r="Q62" s="27"/>
      <c r="R62" s="31"/>
      <c r="S62" s="37"/>
      <c r="T62" s="37"/>
      <c r="U62" s="37" t="s">
        <v>85</v>
      </c>
      <c r="X62" s="38"/>
      <c r="Y62" s="38"/>
      <c r="AA62" s="38"/>
    </row>
    <row r="63" spans="1:27" s="59" customFormat="1" ht="22.15" customHeight="1" x14ac:dyDescent="0.25">
      <c r="A63" s="48">
        <v>39</v>
      </c>
      <c r="B63" s="49" t="s">
        <v>132</v>
      </c>
      <c r="C63" s="50"/>
      <c r="D63" s="51" t="s">
        <v>133</v>
      </c>
      <c r="E63" s="52" t="s">
        <v>143</v>
      </c>
      <c r="F63" s="53">
        <v>44736</v>
      </c>
      <c r="G63" s="54">
        <v>1110000</v>
      </c>
      <c r="H63" s="53">
        <v>44736</v>
      </c>
      <c r="I63" s="54">
        <v>1110000</v>
      </c>
      <c r="J63" s="53">
        <v>44742</v>
      </c>
      <c r="K63" s="53"/>
      <c r="L63" s="55"/>
      <c r="M63" s="56"/>
      <c r="N63" s="57" t="s">
        <v>80</v>
      </c>
      <c r="O63" s="64" t="s">
        <v>135</v>
      </c>
      <c r="P63" s="65" t="s">
        <v>136</v>
      </c>
      <c r="Q63" s="68"/>
      <c r="R63" s="67"/>
      <c r="S63" s="58"/>
      <c r="T63" s="58"/>
      <c r="U63" s="58" t="s">
        <v>85</v>
      </c>
      <c r="X63" s="60"/>
      <c r="Y63" s="60"/>
      <c r="AA63" s="60"/>
    </row>
    <row r="64" spans="1:27" s="11" customFormat="1" ht="22.15" customHeight="1" x14ac:dyDescent="0.25">
      <c r="A64" s="3">
        <v>39</v>
      </c>
      <c r="B64" s="4" t="s">
        <v>132</v>
      </c>
      <c r="C64" s="5"/>
      <c r="D64" s="6" t="s">
        <v>133</v>
      </c>
      <c r="E64" s="7" t="s">
        <v>143</v>
      </c>
      <c r="F64" s="1">
        <v>44736</v>
      </c>
      <c r="G64" s="8">
        <v>18890000</v>
      </c>
      <c r="H64" s="1">
        <v>45657</v>
      </c>
      <c r="I64" s="8">
        <v>18890000</v>
      </c>
      <c r="J64" s="1">
        <v>44886</v>
      </c>
      <c r="K64" s="1"/>
      <c r="L64" s="2">
        <f>DATEDIF("2022-7-1",J64,"d")</f>
        <v>143</v>
      </c>
      <c r="M64" s="9"/>
      <c r="N64" s="10" t="s">
        <v>80</v>
      </c>
      <c r="O64" s="26" t="s">
        <v>135</v>
      </c>
      <c r="P64" s="28" t="s">
        <v>136</v>
      </c>
      <c r="Q64" s="27"/>
      <c r="R64" s="31"/>
      <c r="S64" s="37"/>
      <c r="T64" s="37"/>
      <c r="U64" s="37" t="s">
        <v>85</v>
      </c>
      <c r="X64" s="38"/>
      <c r="Y64" s="38"/>
      <c r="AA64" s="38"/>
    </row>
    <row r="65" spans="1:27" s="11" customFormat="1" ht="22.15" customHeight="1" x14ac:dyDescent="0.25">
      <c r="A65" s="3">
        <v>39</v>
      </c>
      <c r="B65" s="4" t="s">
        <v>144</v>
      </c>
      <c r="C65" s="5"/>
      <c r="D65" s="6" t="s">
        <v>133</v>
      </c>
      <c r="E65" s="7" t="s">
        <v>145</v>
      </c>
      <c r="F65" s="1">
        <v>44923</v>
      </c>
      <c r="G65" s="8">
        <v>10000000</v>
      </c>
      <c r="H65" s="1">
        <v>45653</v>
      </c>
      <c r="I65" s="8"/>
      <c r="J65" s="1"/>
      <c r="K65" s="1"/>
      <c r="L65" s="2">
        <f t="shared" ref="L65" si="6">DATEDIF(F65,"2023-1-1","d")</f>
        <v>4</v>
      </c>
      <c r="M65" s="9"/>
      <c r="N65" s="10" t="s">
        <v>80</v>
      </c>
      <c r="O65" s="26" t="s">
        <v>135</v>
      </c>
      <c r="P65" s="28" t="s">
        <v>136</v>
      </c>
      <c r="Q65" s="27"/>
      <c r="R65" s="31"/>
      <c r="S65" s="37"/>
      <c r="T65" s="37"/>
      <c r="U65" s="37" t="s">
        <v>146</v>
      </c>
      <c r="W65" s="11">
        <f t="shared" ref="W65" si="7">L65-V65</f>
        <v>4</v>
      </c>
      <c r="X65" s="38">
        <f>ROUND(G65*V65/365,2)</f>
        <v>0</v>
      </c>
      <c r="Y65" s="38"/>
      <c r="AA65" s="38"/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opLeftCell="A62" zoomScale="80" zoomScaleNormal="80" workbookViewId="0">
      <selection activeCell="L75" sqref="L75"/>
    </sheetView>
  </sheetViews>
  <sheetFormatPr defaultColWidth="9" defaultRowHeight="14" x14ac:dyDescent="0.25"/>
  <cols>
    <col min="1" max="1" width="6.36328125" style="24" customWidth="1"/>
    <col min="2" max="2" width="27.6328125" style="25" bestFit="1" customWidth="1"/>
    <col min="3" max="3" width="31.453125" style="25" customWidth="1"/>
    <col min="4" max="4" width="12.08984375" style="24" customWidth="1"/>
    <col min="5" max="5" width="14.26953125" style="24" customWidth="1"/>
    <col min="6" max="6" width="12.7265625" style="24" customWidth="1"/>
    <col min="7" max="8" width="15.90625" style="24" customWidth="1"/>
    <col min="9" max="10" width="12.36328125" style="24" customWidth="1"/>
    <col min="11" max="11" width="14.453125" style="24" customWidth="1"/>
    <col min="12" max="16384" width="9" style="25"/>
  </cols>
  <sheetData>
    <row r="1" spans="1:11" s="23" customFormat="1" ht="28" x14ac:dyDescent="0.25">
      <c r="A1" s="30" t="s">
        <v>13</v>
      </c>
      <c r="B1" s="12" t="s">
        <v>0</v>
      </c>
      <c r="C1" s="14" t="s">
        <v>2</v>
      </c>
      <c r="D1" s="16" t="s">
        <v>4</v>
      </c>
      <c r="E1" s="17" t="s">
        <v>5</v>
      </c>
      <c r="F1" s="18" t="s">
        <v>14</v>
      </c>
      <c r="G1" s="19" t="s">
        <v>15</v>
      </c>
      <c r="H1" s="147" t="s">
        <v>392</v>
      </c>
      <c r="I1" s="144" t="s">
        <v>391</v>
      </c>
      <c r="J1" s="144" t="s">
        <v>390</v>
      </c>
      <c r="K1" s="21" t="s">
        <v>17</v>
      </c>
    </row>
    <row r="2" spans="1:11" s="11" customFormat="1" ht="22.15" customHeight="1" x14ac:dyDescent="0.25">
      <c r="A2" s="3">
        <v>1</v>
      </c>
      <c r="B2" s="4" t="s">
        <v>236</v>
      </c>
      <c r="C2" s="6" t="s">
        <v>237</v>
      </c>
      <c r="D2" s="1">
        <v>44617</v>
      </c>
      <c r="E2" s="8">
        <v>5000000</v>
      </c>
      <c r="F2" s="8"/>
      <c r="G2" s="1"/>
      <c r="H2" s="8">
        <f>E2</f>
        <v>5000000</v>
      </c>
      <c r="I2" s="2">
        <v>184</v>
      </c>
      <c r="J2" s="145">
        <v>3.6999999999999998E-2</v>
      </c>
      <c r="K2" s="9">
        <f t="shared" ref="K2:K38" si="0">H2*J2*I2/365*50%</f>
        <v>46630.136986301368</v>
      </c>
    </row>
    <row r="3" spans="1:11" s="11" customFormat="1" ht="22.15" customHeight="1" x14ac:dyDescent="0.25">
      <c r="A3" s="3">
        <v>2</v>
      </c>
      <c r="B3" s="4" t="s">
        <v>241</v>
      </c>
      <c r="C3" s="6" t="s">
        <v>242</v>
      </c>
      <c r="D3" s="1">
        <v>44820</v>
      </c>
      <c r="E3" s="8">
        <v>9000000</v>
      </c>
      <c r="F3" s="8"/>
      <c r="G3" s="1"/>
      <c r="H3" s="8">
        <f t="shared" ref="H3:H14" si="1">E3</f>
        <v>9000000</v>
      </c>
      <c r="I3" s="2">
        <v>107</v>
      </c>
      <c r="J3" s="145">
        <v>3.6999999999999998E-2</v>
      </c>
      <c r="K3" s="9">
        <f t="shared" si="0"/>
        <v>48809.589041095889</v>
      </c>
    </row>
    <row r="4" spans="1:11" s="11" customFormat="1" ht="25.15" customHeight="1" x14ac:dyDescent="0.25">
      <c r="A4" s="3">
        <v>3</v>
      </c>
      <c r="B4" s="4" t="s">
        <v>246</v>
      </c>
      <c r="C4" s="6" t="s">
        <v>247</v>
      </c>
      <c r="D4" s="1">
        <v>44802</v>
      </c>
      <c r="E4" s="8">
        <v>10000000</v>
      </c>
      <c r="F4" s="8"/>
      <c r="G4" s="1"/>
      <c r="H4" s="8">
        <f t="shared" si="1"/>
        <v>10000000</v>
      </c>
      <c r="I4" s="2">
        <v>125</v>
      </c>
      <c r="J4" s="145">
        <v>3.6999999999999998E-2</v>
      </c>
      <c r="K4" s="9">
        <f t="shared" si="0"/>
        <v>63356.164383561641</v>
      </c>
    </row>
    <row r="5" spans="1:11" s="11" customFormat="1" ht="22.15" customHeight="1" x14ac:dyDescent="0.25">
      <c r="A5" s="3">
        <v>4</v>
      </c>
      <c r="B5" s="4" t="s">
        <v>252</v>
      </c>
      <c r="C5" s="6" t="s">
        <v>253</v>
      </c>
      <c r="D5" s="1">
        <v>44736</v>
      </c>
      <c r="E5" s="8">
        <v>20000000</v>
      </c>
      <c r="F5" s="8"/>
      <c r="G5" s="1"/>
      <c r="H5" s="8">
        <f t="shared" si="1"/>
        <v>20000000</v>
      </c>
      <c r="I5" s="2">
        <v>191</v>
      </c>
      <c r="J5" s="145">
        <v>3.2000000000000001E-2</v>
      </c>
      <c r="K5" s="9">
        <f t="shared" si="0"/>
        <v>167452.05479452055</v>
      </c>
    </row>
    <row r="6" spans="1:11" s="11" customFormat="1" ht="22.15" customHeight="1" x14ac:dyDescent="0.25">
      <c r="A6" s="3">
        <v>5</v>
      </c>
      <c r="B6" s="4" t="s">
        <v>257</v>
      </c>
      <c r="C6" s="6" t="s">
        <v>258</v>
      </c>
      <c r="D6" s="1">
        <v>44741</v>
      </c>
      <c r="E6" s="8">
        <v>8000000</v>
      </c>
      <c r="F6" s="8"/>
      <c r="G6" s="1"/>
      <c r="H6" s="8">
        <f t="shared" si="1"/>
        <v>8000000</v>
      </c>
      <c r="I6" s="2">
        <v>186</v>
      </c>
      <c r="J6" s="145">
        <v>3.6999999999999998E-2</v>
      </c>
      <c r="K6" s="9">
        <f t="shared" si="0"/>
        <v>75419.178082191778</v>
      </c>
    </row>
    <row r="7" spans="1:11" s="11" customFormat="1" ht="22.15" customHeight="1" x14ac:dyDescent="0.25">
      <c r="A7" s="3">
        <v>5</v>
      </c>
      <c r="B7" s="4" t="s">
        <v>257</v>
      </c>
      <c r="C7" s="6" t="s">
        <v>264</v>
      </c>
      <c r="D7" s="1">
        <v>44749</v>
      </c>
      <c r="E7" s="8">
        <v>2000000</v>
      </c>
      <c r="F7" s="8"/>
      <c r="G7" s="1"/>
      <c r="H7" s="8">
        <f t="shared" si="1"/>
        <v>2000000</v>
      </c>
      <c r="I7" s="2">
        <v>178</v>
      </c>
      <c r="J7" s="145">
        <v>3.6999999999999998E-2</v>
      </c>
      <c r="K7" s="9">
        <f t="shared" si="0"/>
        <v>18043.835616438355</v>
      </c>
    </row>
    <row r="8" spans="1:11" s="11" customFormat="1" ht="22.15" customHeight="1" x14ac:dyDescent="0.25">
      <c r="A8" s="3">
        <v>6</v>
      </c>
      <c r="B8" s="4" t="s">
        <v>266</v>
      </c>
      <c r="C8" s="6" t="s">
        <v>237</v>
      </c>
      <c r="D8" s="1">
        <v>44826</v>
      </c>
      <c r="E8" s="8">
        <v>10000000</v>
      </c>
      <c r="F8" s="8"/>
      <c r="G8" s="1"/>
      <c r="H8" s="8">
        <f t="shared" si="1"/>
        <v>10000000</v>
      </c>
      <c r="I8" s="2">
        <v>101</v>
      </c>
      <c r="J8" s="145">
        <v>3.6499999999999998E-2</v>
      </c>
      <c r="K8" s="9">
        <f t="shared" si="0"/>
        <v>50500</v>
      </c>
    </row>
    <row r="9" spans="1:11" s="77" customFormat="1" ht="22.15" customHeight="1" x14ac:dyDescent="0.25">
      <c r="A9" s="3">
        <v>7</v>
      </c>
      <c r="B9" s="4" t="s">
        <v>270</v>
      </c>
      <c r="C9" s="6" t="s">
        <v>271</v>
      </c>
      <c r="D9" s="1">
        <v>44711</v>
      </c>
      <c r="E9" s="8">
        <v>3000000</v>
      </c>
      <c r="F9" s="8"/>
      <c r="G9" s="1"/>
      <c r="H9" s="8">
        <f t="shared" si="1"/>
        <v>3000000</v>
      </c>
      <c r="I9" s="2">
        <v>216</v>
      </c>
      <c r="J9" s="145">
        <v>3.6999999999999998E-2</v>
      </c>
      <c r="K9" s="9">
        <f t="shared" si="0"/>
        <v>32843.835616438359</v>
      </c>
    </row>
    <row r="10" spans="1:11" s="77" customFormat="1" ht="22.15" customHeight="1" x14ac:dyDescent="0.25">
      <c r="A10" s="3">
        <v>7</v>
      </c>
      <c r="B10" s="4" t="s">
        <v>270</v>
      </c>
      <c r="C10" s="6" t="s">
        <v>275</v>
      </c>
      <c r="D10" s="1">
        <v>44782</v>
      </c>
      <c r="E10" s="8">
        <v>5000000</v>
      </c>
      <c r="F10" s="8"/>
      <c r="G10" s="1"/>
      <c r="H10" s="8">
        <f t="shared" si="1"/>
        <v>5000000</v>
      </c>
      <c r="I10" s="2">
        <v>145</v>
      </c>
      <c r="J10" s="145">
        <v>3.6999999999999998E-2</v>
      </c>
      <c r="K10" s="9">
        <f t="shared" si="0"/>
        <v>36746.575342465752</v>
      </c>
    </row>
    <row r="11" spans="1:11" s="77" customFormat="1" ht="22.15" customHeight="1" x14ac:dyDescent="0.25">
      <c r="A11" s="3">
        <v>8</v>
      </c>
      <c r="B11" s="4" t="s">
        <v>277</v>
      </c>
      <c r="C11" s="6" t="s">
        <v>278</v>
      </c>
      <c r="D11" s="1">
        <v>44677</v>
      </c>
      <c r="E11" s="8">
        <v>5000000</v>
      </c>
      <c r="F11" s="8"/>
      <c r="G11" s="1"/>
      <c r="H11" s="8">
        <f t="shared" si="1"/>
        <v>5000000</v>
      </c>
      <c r="I11" s="2">
        <v>250</v>
      </c>
      <c r="J11" s="145">
        <v>3.6999999999999998E-2</v>
      </c>
      <c r="K11" s="9">
        <f t="shared" si="0"/>
        <v>63356.164383561641</v>
      </c>
    </row>
    <row r="12" spans="1:11" s="77" customFormat="1" ht="22.15" customHeight="1" x14ac:dyDescent="0.25">
      <c r="A12" s="3">
        <v>9</v>
      </c>
      <c r="B12" s="4" t="s">
        <v>165</v>
      </c>
      <c r="C12" s="6" t="s">
        <v>166</v>
      </c>
      <c r="D12" s="1">
        <v>44648</v>
      </c>
      <c r="E12" s="8">
        <v>2000000</v>
      </c>
      <c r="F12" s="8"/>
      <c r="G12" s="1"/>
      <c r="H12" s="8">
        <f t="shared" si="1"/>
        <v>2000000</v>
      </c>
      <c r="I12" s="2">
        <v>46</v>
      </c>
      <c r="J12" s="145">
        <v>3.6999999999999998E-2</v>
      </c>
      <c r="K12" s="9">
        <f t="shared" si="0"/>
        <v>4663.0136986301368</v>
      </c>
    </row>
    <row r="13" spans="1:11" s="77" customFormat="1" ht="22.15" customHeight="1" x14ac:dyDescent="0.25">
      <c r="A13" s="3">
        <v>9</v>
      </c>
      <c r="B13" s="4" t="s">
        <v>165</v>
      </c>
      <c r="C13" s="6" t="s">
        <v>166</v>
      </c>
      <c r="D13" s="1">
        <v>44648</v>
      </c>
      <c r="E13" s="8">
        <v>2000000</v>
      </c>
      <c r="F13" s="8"/>
      <c r="G13" s="1"/>
      <c r="H13" s="8">
        <f t="shared" si="1"/>
        <v>2000000</v>
      </c>
      <c r="I13" s="2">
        <v>138</v>
      </c>
      <c r="J13" s="145">
        <v>3.4000000000000002E-2</v>
      </c>
      <c r="K13" s="9">
        <f t="shared" si="0"/>
        <v>12854.794520547945</v>
      </c>
    </row>
    <row r="14" spans="1:11" s="77" customFormat="1" x14ac:dyDescent="0.25">
      <c r="A14" s="3">
        <v>9</v>
      </c>
      <c r="B14" s="4" t="s">
        <v>474</v>
      </c>
      <c r="C14" s="6" t="s">
        <v>166</v>
      </c>
      <c r="D14" s="1">
        <v>44813</v>
      </c>
      <c r="E14" s="8">
        <v>8000000</v>
      </c>
      <c r="F14" s="8"/>
      <c r="G14" s="1"/>
      <c r="H14" s="8">
        <f t="shared" si="1"/>
        <v>8000000</v>
      </c>
      <c r="I14" s="2">
        <v>114</v>
      </c>
      <c r="J14" s="145">
        <v>3.4000000000000002E-2</v>
      </c>
      <c r="K14" s="9">
        <f t="shared" si="0"/>
        <v>42476.71232876712</v>
      </c>
    </row>
    <row r="15" spans="1:11" s="77" customFormat="1" ht="22.15" customHeight="1" x14ac:dyDescent="0.25">
      <c r="A15" s="3">
        <v>10</v>
      </c>
      <c r="B15" s="4" t="s">
        <v>175</v>
      </c>
      <c r="C15" s="6" t="s">
        <v>176</v>
      </c>
      <c r="D15" s="1">
        <v>44728</v>
      </c>
      <c r="E15" s="8">
        <v>3000000</v>
      </c>
      <c r="F15" s="8">
        <v>2995000</v>
      </c>
      <c r="G15" s="1">
        <v>44908</v>
      </c>
      <c r="H15" s="8">
        <v>2995000</v>
      </c>
      <c r="I15" s="2">
        <v>180</v>
      </c>
      <c r="J15" s="145">
        <v>3.6999999999999998E-2</v>
      </c>
      <c r="K15" s="9">
        <f t="shared" si="0"/>
        <v>27324.246575342466</v>
      </c>
    </row>
    <row r="16" spans="1:11" s="77" customFormat="1" ht="22.15" customHeight="1" x14ac:dyDescent="0.25">
      <c r="A16" s="3">
        <v>10</v>
      </c>
      <c r="B16" s="4" t="s">
        <v>175</v>
      </c>
      <c r="C16" s="6" t="s">
        <v>176</v>
      </c>
      <c r="D16" s="1"/>
      <c r="E16" s="8"/>
      <c r="F16" s="8">
        <v>5000</v>
      </c>
      <c r="G16" s="1">
        <v>44903</v>
      </c>
      <c r="H16" s="8">
        <v>5000</v>
      </c>
      <c r="I16" s="2">
        <v>175</v>
      </c>
      <c r="J16" s="145">
        <v>3.6999999999999998E-2</v>
      </c>
      <c r="K16" s="9">
        <f t="shared" si="0"/>
        <v>44.349315068493148</v>
      </c>
    </row>
    <row r="17" spans="1:11" s="77" customFormat="1" ht="22.15" customHeight="1" x14ac:dyDescent="0.25">
      <c r="A17" s="3">
        <v>10</v>
      </c>
      <c r="B17" s="4" t="s">
        <v>175</v>
      </c>
      <c r="C17" s="6" t="s">
        <v>51</v>
      </c>
      <c r="D17" s="1">
        <v>44782</v>
      </c>
      <c r="E17" s="8">
        <v>5000000</v>
      </c>
      <c r="F17" s="8"/>
      <c r="G17" s="1"/>
      <c r="H17" s="8"/>
      <c r="I17" s="2">
        <v>145</v>
      </c>
      <c r="J17" s="145">
        <v>3.6799999999999999E-2</v>
      </c>
      <c r="K17" s="9">
        <f t="shared" si="0"/>
        <v>0</v>
      </c>
    </row>
    <row r="18" spans="1:11" s="77" customFormat="1" ht="22.15" customHeight="1" x14ac:dyDescent="0.25">
      <c r="A18" s="3">
        <v>10</v>
      </c>
      <c r="B18" s="4" t="s">
        <v>175</v>
      </c>
      <c r="C18" s="6" t="s">
        <v>182</v>
      </c>
      <c r="D18" s="1">
        <v>44727</v>
      </c>
      <c r="E18" s="8">
        <v>2000000</v>
      </c>
      <c r="F18" s="8"/>
      <c r="G18" s="1"/>
      <c r="H18" s="8">
        <v>2000000</v>
      </c>
      <c r="I18" s="2">
        <v>200</v>
      </c>
      <c r="J18" s="145">
        <v>3.6999999999999998E-2</v>
      </c>
      <c r="K18" s="9">
        <f t="shared" si="0"/>
        <v>20273.972602739726</v>
      </c>
    </row>
    <row r="19" spans="1:11" s="77" customFormat="1" ht="22.15" customHeight="1" x14ac:dyDescent="0.25">
      <c r="A19" s="3">
        <v>10</v>
      </c>
      <c r="B19" s="4" t="s">
        <v>175</v>
      </c>
      <c r="C19" s="6" t="s">
        <v>182</v>
      </c>
      <c r="D19" s="1">
        <v>44727</v>
      </c>
      <c r="E19" s="8">
        <v>3000000</v>
      </c>
      <c r="F19" s="8"/>
      <c r="G19" s="1"/>
      <c r="H19" s="8">
        <v>3000000</v>
      </c>
      <c r="I19" s="2">
        <v>200</v>
      </c>
      <c r="J19" s="145">
        <v>3.6999999999999998E-2</v>
      </c>
      <c r="K19" s="9">
        <f t="shared" si="0"/>
        <v>30410.95890410959</v>
      </c>
    </row>
    <row r="20" spans="1:11" s="77" customFormat="1" ht="22.15" customHeight="1" x14ac:dyDescent="0.25">
      <c r="A20" s="3">
        <v>10</v>
      </c>
      <c r="B20" s="4" t="s">
        <v>175</v>
      </c>
      <c r="C20" s="6" t="s">
        <v>182</v>
      </c>
      <c r="D20" s="1">
        <v>44728</v>
      </c>
      <c r="E20" s="8">
        <v>4500000</v>
      </c>
      <c r="F20" s="8"/>
      <c r="G20" s="1"/>
      <c r="H20" s="8">
        <v>2000000</v>
      </c>
      <c r="I20" s="2">
        <v>199</v>
      </c>
      <c r="J20" s="145">
        <v>3.6999999999999998E-2</v>
      </c>
      <c r="K20" s="9">
        <f t="shared" si="0"/>
        <v>20172.602739726026</v>
      </c>
    </row>
    <row r="21" spans="1:11" s="77" customFormat="1" ht="22.15" customHeight="1" x14ac:dyDescent="0.25">
      <c r="A21" s="3">
        <v>10</v>
      </c>
      <c r="B21" s="4" t="s">
        <v>175</v>
      </c>
      <c r="C21" s="6" t="s">
        <v>186</v>
      </c>
      <c r="D21" s="1">
        <v>44645</v>
      </c>
      <c r="E21" s="8">
        <v>1000000</v>
      </c>
      <c r="F21" s="8">
        <v>1000000</v>
      </c>
      <c r="G21" s="1">
        <v>44719</v>
      </c>
      <c r="H21" s="8"/>
      <c r="I21" s="2">
        <v>74</v>
      </c>
      <c r="J21" s="145">
        <v>3.6999999999999998E-2</v>
      </c>
      <c r="K21" s="9">
        <f t="shared" si="0"/>
        <v>0</v>
      </c>
    </row>
    <row r="22" spans="1:11" s="11" customFormat="1" ht="22.15" customHeight="1" x14ac:dyDescent="0.25">
      <c r="A22" s="3">
        <v>10</v>
      </c>
      <c r="B22" s="4" t="s">
        <v>175</v>
      </c>
      <c r="C22" s="6" t="s">
        <v>186</v>
      </c>
      <c r="D22" s="1">
        <v>44783</v>
      </c>
      <c r="E22" s="8">
        <v>1000000</v>
      </c>
      <c r="F22" s="8">
        <v>1000000</v>
      </c>
      <c r="G22" s="1">
        <v>44917</v>
      </c>
      <c r="H22" s="8"/>
      <c r="I22" s="2">
        <v>134</v>
      </c>
      <c r="J22" s="145">
        <v>3.6999999999999998E-2</v>
      </c>
      <c r="K22" s="9">
        <f t="shared" si="0"/>
        <v>0</v>
      </c>
    </row>
    <row r="23" spans="1:11" s="11" customFormat="1" ht="22.15" customHeight="1" x14ac:dyDescent="0.25">
      <c r="A23" s="3">
        <v>10</v>
      </c>
      <c r="B23" s="4" t="s">
        <v>175</v>
      </c>
      <c r="C23" s="6" t="s">
        <v>186</v>
      </c>
      <c r="D23" s="1">
        <v>44925</v>
      </c>
      <c r="E23" s="8">
        <v>1000000</v>
      </c>
      <c r="F23" s="1"/>
      <c r="G23" s="1"/>
      <c r="H23" s="8"/>
      <c r="I23" s="2">
        <v>2</v>
      </c>
      <c r="J23" s="145">
        <v>3.6999999999999998E-2</v>
      </c>
      <c r="K23" s="9">
        <f t="shared" si="0"/>
        <v>0</v>
      </c>
    </row>
    <row r="24" spans="1:11" s="11" customFormat="1" ht="22.15" customHeight="1" x14ac:dyDescent="0.25">
      <c r="A24" s="99">
        <v>11</v>
      </c>
      <c r="B24" s="4" t="s">
        <v>188</v>
      </c>
      <c r="C24" s="6" t="s">
        <v>189</v>
      </c>
      <c r="D24" s="1">
        <v>44790</v>
      </c>
      <c r="E24" s="8">
        <v>4800000</v>
      </c>
      <c r="F24" s="1"/>
      <c r="G24" s="1"/>
      <c r="H24" s="8"/>
      <c r="I24" s="2">
        <v>137</v>
      </c>
      <c r="J24" s="145">
        <v>3.6999999999999998E-2</v>
      </c>
      <c r="K24" s="9">
        <f t="shared" si="0"/>
        <v>0</v>
      </c>
    </row>
    <row r="25" spans="1:11" s="11" customFormat="1" ht="22.15" customHeight="1" x14ac:dyDescent="0.25">
      <c r="A25" s="3">
        <v>11</v>
      </c>
      <c r="B25" s="4" t="s">
        <v>188</v>
      </c>
      <c r="C25" s="6" t="s">
        <v>189</v>
      </c>
      <c r="D25" s="1">
        <v>44790</v>
      </c>
      <c r="E25" s="8">
        <v>3500000</v>
      </c>
      <c r="F25" s="8"/>
      <c r="G25" s="1"/>
      <c r="H25" s="8"/>
      <c r="I25" s="2">
        <v>137</v>
      </c>
      <c r="J25" s="145">
        <v>3.6999999999999998E-2</v>
      </c>
      <c r="K25" s="9">
        <f t="shared" si="0"/>
        <v>0</v>
      </c>
    </row>
    <row r="26" spans="1:11" s="11" customFormat="1" ht="22.15" customHeight="1" x14ac:dyDescent="0.25">
      <c r="A26" s="99">
        <v>11</v>
      </c>
      <c r="B26" s="4" t="s">
        <v>188</v>
      </c>
      <c r="C26" s="6" t="s">
        <v>189</v>
      </c>
      <c r="D26" s="1">
        <v>44790</v>
      </c>
      <c r="E26" s="8">
        <v>3500000</v>
      </c>
      <c r="F26" s="8"/>
      <c r="G26" s="1"/>
      <c r="H26" s="8">
        <v>1800000</v>
      </c>
      <c r="I26" s="2">
        <v>137</v>
      </c>
      <c r="J26" s="145">
        <v>3.6999999999999998E-2</v>
      </c>
      <c r="K26" s="9">
        <f t="shared" si="0"/>
        <v>12498.904109589041</v>
      </c>
    </row>
    <row r="27" spans="1:11" s="11" customFormat="1" ht="22.15" customHeight="1" x14ac:dyDescent="0.25">
      <c r="A27" s="99">
        <v>11</v>
      </c>
      <c r="B27" s="4" t="s">
        <v>188</v>
      </c>
      <c r="C27" s="6" t="s">
        <v>189</v>
      </c>
      <c r="D27" s="1">
        <v>44790</v>
      </c>
      <c r="E27" s="8">
        <v>3500000</v>
      </c>
      <c r="F27" s="8"/>
      <c r="G27" s="1"/>
      <c r="H27" s="8">
        <v>3500000</v>
      </c>
      <c r="I27" s="2">
        <v>137</v>
      </c>
      <c r="J27" s="145">
        <v>3.6999999999999998E-2</v>
      </c>
      <c r="K27" s="9">
        <f t="shared" si="0"/>
        <v>24303.424657534248</v>
      </c>
    </row>
    <row r="28" spans="1:11" s="11" customFormat="1" ht="22.15" customHeight="1" x14ac:dyDescent="0.25">
      <c r="A28" s="99">
        <v>11</v>
      </c>
      <c r="B28" s="4" t="s">
        <v>188</v>
      </c>
      <c r="C28" s="6" t="s">
        <v>189</v>
      </c>
      <c r="D28" s="1">
        <v>44788</v>
      </c>
      <c r="E28" s="8">
        <v>4700000</v>
      </c>
      <c r="F28" s="8"/>
      <c r="G28" s="1"/>
      <c r="H28" s="8">
        <v>4700000</v>
      </c>
      <c r="I28" s="2">
        <v>139</v>
      </c>
      <c r="J28" s="145">
        <v>3.6999999999999998E-2</v>
      </c>
      <c r="K28" s="9">
        <f t="shared" si="0"/>
        <v>33112.465753424658</v>
      </c>
    </row>
    <row r="29" spans="1:11" s="11" customFormat="1" ht="22.15" customHeight="1" x14ac:dyDescent="0.25">
      <c r="A29" s="3">
        <v>12</v>
      </c>
      <c r="B29" s="4" t="s">
        <v>195</v>
      </c>
      <c r="C29" s="100" t="s">
        <v>33</v>
      </c>
      <c r="D29" s="1">
        <v>44789</v>
      </c>
      <c r="E29" s="8">
        <v>3000000</v>
      </c>
      <c r="F29" s="8"/>
      <c r="G29" s="1"/>
      <c r="H29" s="8">
        <f>E29</f>
        <v>3000000</v>
      </c>
      <c r="I29" s="2">
        <v>138</v>
      </c>
      <c r="J29" s="145">
        <v>3.6999999999999998E-2</v>
      </c>
      <c r="K29" s="9">
        <f t="shared" si="0"/>
        <v>20983.561643835616</v>
      </c>
    </row>
    <row r="30" spans="1:11" s="11" customFormat="1" ht="22.15" customHeight="1" x14ac:dyDescent="0.25">
      <c r="A30" s="3">
        <v>12</v>
      </c>
      <c r="B30" s="4" t="s">
        <v>195</v>
      </c>
      <c r="C30" s="6" t="s">
        <v>200</v>
      </c>
      <c r="D30" s="1">
        <v>44823</v>
      </c>
      <c r="E30" s="8">
        <v>5000000</v>
      </c>
      <c r="F30" s="8"/>
      <c r="G30" s="1"/>
      <c r="H30" s="8">
        <f>E30</f>
        <v>5000000</v>
      </c>
      <c r="I30" s="2">
        <v>104</v>
      </c>
      <c r="J30" s="145">
        <v>3.6999999999999998E-2</v>
      </c>
      <c r="K30" s="9">
        <f t="shared" si="0"/>
        <v>26356.164383561645</v>
      </c>
    </row>
    <row r="31" spans="1:11" s="11" customFormat="1" ht="22.15" customHeight="1" x14ac:dyDescent="0.25">
      <c r="A31" s="3">
        <v>12</v>
      </c>
      <c r="B31" s="4" t="s">
        <v>195</v>
      </c>
      <c r="C31" s="6" t="s">
        <v>200</v>
      </c>
      <c r="D31" s="1">
        <v>44848</v>
      </c>
      <c r="E31" s="8">
        <v>5000000</v>
      </c>
      <c r="F31" s="8"/>
      <c r="G31" s="1"/>
      <c r="H31" s="8">
        <v>2000000</v>
      </c>
      <c r="I31" s="2">
        <v>79</v>
      </c>
      <c r="J31" s="145">
        <v>3.6999999999999998E-2</v>
      </c>
      <c r="K31" s="9">
        <f t="shared" si="0"/>
        <v>8008.2191780821922</v>
      </c>
    </row>
    <row r="32" spans="1:11" s="11" customFormat="1" ht="22.15" customHeight="1" x14ac:dyDescent="0.25">
      <c r="A32" s="3">
        <v>13</v>
      </c>
      <c r="B32" s="4" t="s">
        <v>202</v>
      </c>
      <c r="C32" s="6" t="s">
        <v>176</v>
      </c>
      <c r="D32" s="1">
        <v>44676</v>
      </c>
      <c r="E32" s="8">
        <v>3000000</v>
      </c>
      <c r="F32" s="8">
        <v>3000000</v>
      </c>
      <c r="G32" s="1">
        <v>44847</v>
      </c>
      <c r="H32" s="8">
        <v>3000000</v>
      </c>
      <c r="I32" s="2">
        <v>104</v>
      </c>
      <c r="J32" s="145">
        <v>3.6999999999999998E-2</v>
      </c>
      <c r="K32" s="9">
        <f t="shared" si="0"/>
        <v>15813.698630136987</v>
      </c>
    </row>
    <row r="33" spans="1:11" s="11" customFormat="1" ht="22.15" customHeight="1" x14ac:dyDescent="0.25">
      <c r="A33" s="3">
        <v>13</v>
      </c>
      <c r="B33" s="4" t="s">
        <v>202</v>
      </c>
      <c r="C33" s="6" t="s">
        <v>176</v>
      </c>
      <c r="D33" s="1">
        <v>44847</v>
      </c>
      <c r="E33" s="8">
        <v>3000000</v>
      </c>
      <c r="F33" s="8"/>
      <c r="G33" s="101"/>
      <c r="H33" s="8">
        <v>3000000</v>
      </c>
      <c r="I33" s="2">
        <v>80</v>
      </c>
      <c r="J33" s="145">
        <v>3.6999999999999998E-2</v>
      </c>
      <c r="K33" s="9">
        <f t="shared" si="0"/>
        <v>12164.383561643835</v>
      </c>
    </row>
    <row r="34" spans="1:11" s="11" customFormat="1" ht="22.15" customHeight="1" x14ac:dyDescent="0.25">
      <c r="A34" s="3">
        <v>14</v>
      </c>
      <c r="B34" s="100" t="s">
        <v>209</v>
      </c>
      <c r="C34" s="6" t="s">
        <v>33</v>
      </c>
      <c r="D34" s="1">
        <v>44852</v>
      </c>
      <c r="E34" s="8">
        <v>4000000</v>
      </c>
      <c r="F34" s="8"/>
      <c r="G34" s="101"/>
      <c r="H34" s="8">
        <f>E34</f>
        <v>4000000</v>
      </c>
      <c r="I34" s="2">
        <v>75</v>
      </c>
      <c r="J34" s="145">
        <v>3.6999999999999998E-2</v>
      </c>
      <c r="K34" s="9">
        <f t="shared" si="0"/>
        <v>15205.479452054795</v>
      </c>
    </row>
    <row r="35" spans="1:11" s="11" customFormat="1" ht="22.15" customHeight="1" x14ac:dyDescent="0.25">
      <c r="A35" s="3">
        <v>15</v>
      </c>
      <c r="B35" s="4" t="s">
        <v>214</v>
      </c>
      <c r="C35" s="6" t="s">
        <v>30</v>
      </c>
      <c r="D35" s="1">
        <v>44847</v>
      </c>
      <c r="E35" s="8">
        <v>5000000</v>
      </c>
      <c r="F35" s="8"/>
      <c r="G35" s="1"/>
      <c r="H35" s="8">
        <v>5000000</v>
      </c>
      <c r="I35" s="2">
        <v>80</v>
      </c>
      <c r="J35" s="145">
        <v>3.6999999999999998E-2</v>
      </c>
      <c r="K35" s="9">
        <f t="shared" si="0"/>
        <v>20273.972602739726</v>
      </c>
    </row>
    <row r="36" spans="1:11" s="59" customFormat="1" ht="22.15" customHeight="1" x14ac:dyDescent="0.25">
      <c r="A36" s="48">
        <v>15</v>
      </c>
      <c r="B36" s="49" t="s">
        <v>214</v>
      </c>
      <c r="C36" s="51" t="s">
        <v>30</v>
      </c>
      <c r="D36" s="53">
        <v>44860</v>
      </c>
      <c r="E36" s="54">
        <v>5000000</v>
      </c>
      <c r="F36" s="54"/>
      <c r="G36" s="53"/>
      <c r="H36" s="54"/>
      <c r="I36" s="55">
        <v>67</v>
      </c>
      <c r="J36" s="146">
        <v>3.6999999999999998E-2</v>
      </c>
      <c r="K36" s="56">
        <f t="shared" si="0"/>
        <v>0</v>
      </c>
    </row>
    <row r="37" spans="1:11" s="11" customFormat="1" ht="22.15" customHeight="1" x14ac:dyDescent="0.25">
      <c r="A37" s="3">
        <v>15</v>
      </c>
      <c r="B37" s="4" t="s">
        <v>214</v>
      </c>
      <c r="C37" s="6" t="s">
        <v>30</v>
      </c>
      <c r="D37" s="1">
        <v>44823</v>
      </c>
      <c r="E37" s="8">
        <v>5000000</v>
      </c>
      <c r="F37" s="8"/>
      <c r="G37" s="1"/>
      <c r="H37" s="8">
        <v>5000000</v>
      </c>
      <c r="I37" s="2">
        <v>104</v>
      </c>
      <c r="J37" s="145">
        <v>3.6999999999999998E-2</v>
      </c>
      <c r="K37" s="9">
        <f t="shared" si="0"/>
        <v>26356.164383561645</v>
      </c>
    </row>
    <row r="38" spans="1:11" s="59" customFormat="1" ht="22.15" customHeight="1" x14ac:dyDescent="0.25">
      <c r="A38" s="48">
        <v>15</v>
      </c>
      <c r="B38" s="49" t="s">
        <v>214</v>
      </c>
      <c r="C38" s="51" t="s">
        <v>30</v>
      </c>
      <c r="D38" s="53">
        <v>44875</v>
      </c>
      <c r="E38" s="54">
        <v>10000000</v>
      </c>
      <c r="F38" s="54"/>
      <c r="G38" s="53"/>
      <c r="H38" s="54"/>
      <c r="I38" s="55">
        <v>52</v>
      </c>
      <c r="J38" s="146">
        <v>3.6999999999999998E-2</v>
      </c>
      <c r="K38" s="56">
        <f t="shared" si="0"/>
        <v>0</v>
      </c>
    </row>
    <row r="39" spans="1:11" s="11" customFormat="1" ht="21" customHeight="1" x14ac:dyDescent="0.25">
      <c r="A39" s="3">
        <v>16</v>
      </c>
      <c r="B39" s="4" t="s">
        <v>222</v>
      </c>
      <c r="C39" s="105" t="s">
        <v>282</v>
      </c>
      <c r="D39" s="1">
        <v>44728</v>
      </c>
      <c r="E39" s="8">
        <v>30000000</v>
      </c>
      <c r="F39" s="8"/>
      <c r="G39" s="1"/>
      <c r="H39" s="8">
        <v>10000000</v>
      </c>
      <c r="I39" s="2">
        <v>184</v>
      </c>
      <c r="J39" s="145">
        <v>3.6999999999999998E-2</v>
      </c>
      <c r="K39" s="9">
        <f>H39*J39*I39/365*50%</f>
        <v>93260.273972602736</v>
      </c>
    </row>
    <row r="40" spans="1:11" s="59" customFormat="1" ht="22.15" customHeight="1" x14ac:dyDescent="0.25">
      <c r="A40" s="48">
        <v>16</v>
      </c>
      <c r="B40" s="49" t="s">
        <v>222</v>
      </c>
      <c r="C40" s="148" t="s">
        <v>176</v>
      </c>
      <c r="D40" s="53">
        <v>44769</v>
      </c>
      <c r="E40" s="54">
        <v>30000000</v>
      </c>
      <c r="F40" s="54"/>
      <c r="G40" s="53"/>
      <c r="H40" s="54"/>
      <c r="I40" s="55">
        <v>158</v>
      </c>
      <c r="J40" s="146">
        <v>3.5999999999999997E-2</v>
      </c>
      <c r="K40" s="56">
        <f t="shared" ref="K40:K75" si="2">H40*J40*I40/365*50%</f>
        <v>0</v>
      </c>
    </row>
    <row r="41" spans="1:11" s="11" customFormat="1" ht="22.15" customHeight="1" x14ac:dyDescent="0.25">
      <c r="A41" s="3">
        <v>17</v>
      </c>
      <c r="B41" s="4" t="s">
        <v>287</v>
      </c>
      <c r="C41" s="6" t="s">
        <v>288</v>
      </c>
      <c r="D41" s="1">
        <v>44756</v>
      </c>
      <c r="E41" s="8">
        <v>4300000</v>
      </c>
      <c r="F41" s="8"/>
      <c r="G41" s="1"/>
      <c r="H41" s="8">
        <v>4000000</v>
      </c>
      <c r="I41" s="2">
        <v>171</v>
      </c>
      <c r="J41" s="145">
        <v>3.6999999999999998E-2</v>
      </c>
      <c r="K41" s="9">
        <f t="shared" si="2"/>
        <v>34668.493150684932</v>
      </c>
    </row>
    <row r="42" spans="1:11" s="121" customFormat="1" ht="22.15" customHeight="1" x14ac:dyDescent="0.25">
      <c r="A42" s="107">
        <v>17</v>
      </c>
      <c r="B42" s="108" t="s">
        <v>225</v>
      </c>
      <c r="C42" s="110" t="s">
        <v>294</v>
      </c>
      <c r="D42" s="112">
        <v>44615</v>
      </c>
      <c r="E42" s="113">
        <v>3000000</v>
      </c>
      <c r="F42" s="113"/>
      <c r="G42" s="112"/>
      <c r="H42" s="8">
        <v>3000000</v>
      </c>
      <c r="I42" s="2">
        <v>184</v>
      </c>
      <c r="J42" s="145">
        <v>3.6999999999999998E-2</v>
      </c>
      <c r="K42" s="114">
        <f t="shared" si="2"/>
        <v>27978.082191780821</v>
      </c>
    </row>
    <row r="43" spans="1:11" s="11" customFormat="1" x14ac:dyDescent="0.25">
      <c r="A43" s="3">
        <v>17</v>
      </c>
      <c r="B43" s="4" t="s">
        <v>225</v>
      </c>
      <c r="C43" s="6" t="s">
        <v>281</v>
      </c>
      <c r="D43" s="1">
        <v>44628</v>
      </c>
      <c r="E43" s="8">
        <v>3000000</v>
      </c>
      <c r="F43" s="8">
        <v>3000000</v>
      </c>
      <c r="G43" s="1">
        <v>44918</v>
      </c>
      <c r="H43" s="8">
        <v>3000000</v>
      </c>
      <c r="I43" s="2">
        <v>175</v>
      </c>
      <c r="J43" s="145">
        <v>3.6999999999999998E-2</v>
      </c>
      <c r="K43" s="9">
        <f t="shared" si="2"/>
        <v>26609.589041095889</v>
      </c>
    </row>
    <row r="44" spans="1:11" s="129" customFormat="1" ht="26.25" customHeight="1" x14ac:dyDescent="0.25">
      <c r="A44" s="99">
        <v>18</v>
      </c>
      <c r="B44" s="32" t="s">
        <v>298</v>
      </c>
      <c r="C44" s="122" t="s">
        <v>299</v>
      </c>
      <c r="D44" s="34">
        <v>44736</v>
      </c>
      <c r="E44" s="123">
        <v>10000000</v>
      </c>
      <c r="F44" s="123"/>
      <c r="G44" s="34"/>
      <c r="H44" s="123">
        <v>10000000</v>
      </c>
      <c r="I44" s="2">
        <v>191</v>
      </c>
      <c r="J44" s="145">
        <v>3.5999999999999997E-2</v>
      </c>
      <c r="K44" s="124">
        <f t="shared" si="2"/>
        <v>94191.780821917811</v>
      </c>
    </row>
    <row r="45" spans="1:11" s="11" customFormat="1" x14ac:dyDescent="0.25">
      <c r="A45" s="3">
        <v>19</v>
      </c>
      <c r="B45" s="4" t="s">
        <v>304</v>
      </c>
      <c r="C45" s="6" t="s">
        <v>305</v>
      </c>
      <c r="D45" s="1">
        <v>44739</v>
      </c>
      <c r="E45" s="8">
        <v>8000000</v>
      </c>
      <c r="F45" s="8"/>
      <c r="G45" s="1"/>
      <c r="H45" s="8">
        <v>8000000</v>
      </c>
      <c r="I45" s="2">
        <v>188</v>
      </c>
      <c r="J45" s="145">
        <v>3.6999999999999998E-2</v>
      </c>
      <c r="K45" s="9">
        <f t="shared" si="2"/>
        <v>76230.136986301368</v>
      </c>
    </row>
    <row r="46" spans="1:11" s="11" customFormat="1" x14ac:dyDescent="0.25">
      <c r="A46" s="3">
        <v>20</v>
      </c>
      <c r="B46" s="4" t="s">
        <v>310</v>
      </c>
      <c r="C46" s="6" t="s">
        <v>311</v>
      </c>
      <c r="D46" s="1">
        <v>44735</v>
      </c>
      <c r="E46" s="8">
        <v>5000000</v>
      </c>
      <c r="F46" s="8"/>
      <c r="G46" s="1"/>
      <c r="H46" s="8">
        <v>5000000</v>
      </c>
      <c r="I46" s="2">
        <v>192</v>
      </c>
      <c r="J46" s="145">
        <v>3.6999999999999998E-2</v>
      </c>
      <c r="K46" s="9">
        <f t="shared" si="2"/>
        <v>48657.534246575342</v>
      </c>
    </row>
    <row r="47" spans="1:11" s="11" customFormat="1" ht="22.15" customHeight="1" x14ac:dyDescent="0.25">
      <c r="A47" s="3">
        <v>21</v>
      </c>
      <c r="B47" s="4" t="s">
        <v>316</v>
      </c>
      <c r="C47" s="6" t="s">
        <v>317</v>
      </c>
      <c r="D47" s="1">
        <v>44853</v>
      </c>
      <c r="E47" s="8">
        <v>3942415</v>
      </c>
      <c r="F47" s="8"/>
      <c r="G47" s="1"/>
      <c r="H47" s="8">
        <v>3942415</v>
      </c>
      <c r="I47" s="2">
        <v>74</v>
      </c>
      <c r="J47" s="145">
        <v>3.6999999999999998E-2</v>
      </c>
      <c r="K47" s="9">
        <f t="shared" si="2"/>
        <v>14786.756534246575</v>
      </c>
    </row>
    <row r="48" spans="1:11" s="11" customFormat="1" ht="22.15" customHeight="1" x14ac:dyDescent="0.25">
      <c r="A48" s="3">
        <v>21</v>
      </c>
      <c r="B48" s="4" t="s">
        <v>230</v>
      </c>
      <c r="C48" s="6" t="s">
        <v>231</v>
      </c>
      <c r="D48" s="1">
        <v>44902</v>
      </c>
      <c r="E48" s="8">
        <v>1057587</v>
      </c>
      <c r="F48" s="8"/>
      <c r="G48" s="1"/>
      <c r="H48" s="8">
        <v>1057587</v>
      </c>
      <c r="I48" s="2">
        <v>25</v>
      </c>
      <c r="J48" s="145">
        <v>3.6999999999999998E-2</v>
      </c>
      <c r="K48" s="9">
        <f t="shared" si="2"/>
        <v>1340.0931164383562</v>
      </c>
    </row>
    <row r="49" spans="1:11" s="11" customFormat="1" x14ac:dyDescent="0.25">
      <c r="A49" s="3">
        <v>22</v>
      </c>
      <c r="B49" s="4" t="s">
        <v>324</v>
      </c>
      <c r="C49" s="6" t="s">
        <v>237</v>
      </c>
      <c r="D49" s="1">
        <v>44777</v>
      </c>
      <c r="E49" s="8">
        <v>6000000</v>
      </c>
      <c r="F49" s="8"/>
      <c r="G49" s="1"/>
      <c r="H49" s="8">
        <v>6000000</v>
      </c>
      <c r="I49" s="2">
        <v>150</v>
      </c>
      <c r="J49" s="145">
        <v>3.6999999999999998E-2</v>
      </c>
      <c r="K49" s="9">
        <f t="shared" si="2"/>
        <v>45616.438356164384</v>
      </c>
    </row>
    <row r="50" spans="1:11" s="11" customFormat="1" ht="22.15" customHeight="1" x14ac:dyDescent="0.25">
      <c r="A50" s="3">
        <v>23</v>
      </c>
      <c r="B50" s="4" t="s">
        <v>329</v>
      </c>
      <c r="C50" s="6" t="s">
        <v>330</v>
      </c>
      <c r="D50" s="1">
        <v>44827</v>
      </c>
      <c r="E50" s="8">
        <v>10000000</v>
      </c>
      <c r="F50" s="123"/>
      <c r="G50" s="34"/>
      <c r="H50" s="8">
        <v>10000000</v>
      </c>
      <c r="I50" s="2">
        <v>100</v>
      </c>
      <c r="J50" s="145">
        <v>3.5000000000000003E-2</v>
      </c>
      <c r="K50" s="9">
        <f t="shared" si="2"/>
        <v>47945.205479452066</v>
      </c>
    </row>
    <row r="51" spans="1:11" s="121" customFormat="1" x14ac:dyDescent="0.25">
      <c r="A51" s="107">
        <v>24</v>
      </c>
      <c r="B51" s="108" t="s">
        <v>337</v>
      </c>
      <c r="C51" s="110" t="s">
        <v>338</v>
      </c>
      <c r="D51" s="112">
        <v>44740</v>
      </c>
      <c r="E51" s="113">
        <v>10000000</v>
      </c>
      <c r="F51" s="113"/>
      <c r="G51" s="112"/>
      <c r="H51" s="113">
        <v>10000000</v>
      </c>
      <c r="I51" s="2">
        <v>187</v>
      </c>
      <c r="J51" s="145">
        <v>3.6999999999999998E-2</v>
      </c>
      <c r="K51" s="114">
        <f t="shared" si="2"/>
        <v>94780.821917808222</v>
      </c>
    </row>
    <row r="52" spans="1:11" s="11" customFormat="1" ht="22.15" customHeight="1" x14ac:dyDescent="0.25">
      <c r="A52" s="3">
        <v>25</v>
      </c>
      <c r="B52" s="4" t="s">
        <v>343</v>
      </c>
      <c r="C52" s="6" t="s">
        <v>338</v>
      </c>
      <c r="D52" s="1">
        <v>44806</v>
      </c>
      <c r="E52" s="8">
        <v>6000000</v>
      </c>
      <c r="F52" s="8"/>
      <c r="G52" s="1"/>
      <c r="H52" s="8">
        <v>6000000</v>
      </c>
      <c r="I52" s="2">
        <v>121</v>
      </c>
      <c r="J52" s="145">
        <v>3.6999999999999998E-2</v>
      </c>
      <c r="K52" s="9">
        <f t="shared" si="2"/>
        <v>36797.260273972606</v>
      </c>
    </row>
    <row r="53" spans="1:11" s="11" customFormat="1" ht="22.15" customHeight="1" x14ac:dyDescent="0.25">
      <c r="A53" s="3">
        <v>26</v>
      </c>
      <c r="B53" s="4" t="s">
        <v>348</v>
      </c>
      <c r="C53" s="6" t="s">
        <v>349</v>
      </c>
      <c r="D53" s="1">
        <v>44732</v>
      </c>
      <c r="E53" s="8">
        <v>5000000</v>
      </c>
      <c r="F53" s="8"/>
      <c r="G53" s="1"/>
      <c r="H53" s="8">
        <v>5000000</v>
      </c>
      <c r="I53" s="2">
        <v>184</v>
      </c>
      <c r="J53" s="145">
        <v>3.6999999999999998E-2</v>
      </c>
      <c r="K53" s="9">
        <f t="shared" si="2"/>
        <v>46630.136986301368</v>
      </c>
    </row>
    <row r="54" spans="1:11" s="11" customFormat="1" x14ac:dyDescent="0.25">
      <c r="A54" s="3">
        <v>26</v>
      </c>
      <c r="B54" s="4" t="s">
        <v>348</v>
      </c>
      <c r="C54" s="6" t="s">
        <v>311</v>
      </c>
      <c r="D54" s="1">
        <v>44757</v>
      </c>
      <c r="E54" s="8">
        <v>5000000</v>
      </c>
      <c r="F54" s="8"/>
      <c r="G54" s="1"/>
      <c r="H54" s="8">
        <v>5000000</v>
      </c>
      <c r="I54" s="2">
        <v>170</v>
      </c>
      <c r="J54" s="145">
        <v>3.6999999999999998E-2</v>
      </c>
      <c r="K54" s="9">
        <f t="shared" si="2"/>
        <v>43082.191780821915</v>
      </c>
    </row>
    <row r="55" spans="1:11" s="11" customFormat="1" ht="22.15" customHeight="1" x14ac:dyDescent="0.25">
      <c r="A55" s="3">
        <v>27</v>
      </c>
      <c r="B55" s="4" t="s">
        <v>356</v>
      </c>
      <c r="C55" s="31" t="s">
        <v>357</v>
      </c>
      <c r="D55" s="1">
        <v>44757</v>
      </c>
      <c r="E55" s="8">
        <v>5000000</v>
      </c>
      <c r="F55" s="8"/>
      <c r="G55" s="1"/>
      <c r="H55" s="8">
        <v>5000000</v>
      </c>
      <c r="I55" s="2">
        <v>170</v>
      </c>
      <c r="J55" s="145">
        <v>3.6999999999999998E-2</v>
      </c>
      <c r="K55" s="9">
        <f t="shared" si="2"/>
        <v>43082.191780821915</v>
      </c>
    </row>
    <row r="56" spans="1:11" s="11" customFormat="1" ht="22.15" customHeight="1" x14ac:dyDescent="0.25">
      <c r="A56" s="3">
        <v>28</v>
      </c>
      <c r="B56" s="4" t="s">
        <v>362</v>
      </c>
      <c r="C56" s="6" t="s">
        <v>349</v>
      </c>
      <c r="D56" s="1">
        <v>44753</v>
      </c>
      <c r="E56" s="8">
        <v>5000000</v>
      </c>
      <c r="F56" s="8"/>
      <c r="G56" s="1"/>
      <c r="H56" s="8">
        <v>5000000</v>
      </c>
      <c r="I56" s="2">
        <v>174</v>
      </c>
      <c r="J56" s="145">
        <v>3.6999999999999998E-2</v>
      </c>
      <c r="K56" s="9">
        <f t="shared" si="2"/>
        <v>44095.890410958906</v>
      </c>
    </row>
    <row r="57" spans="1:11" s="11" customFormat="1" ht="22.15" customHeight="1" x14ac:dyDescent="0.25">
      <c r="A57" s="3">
        <v>28</v>
      </c>
      <c r="B57" s="4" t="s">
        <v>362</v>
      </c>
      <c r="C57" s="6" t="s">
        <v>368</v>
      </c>
      <c r="D57" s="1">
        <v>44644</v>
      </c>
      <c r="E57" s="8">
        <v>5000000</v>
      </c>
      <c r="F57" s="8"/>
      <c r="G57" s="1"/>
      <c r="H57" s="8">
        <v>5000000</v>
      </c>
      <c r="I57" s="2">
        <v>283</v>
      </c>
      <c r="J57" s="145">
        <v>3.6999999999999998E-2</v>
      </c>
      <c r="K57" s="9">
        <f t="shared" si="2"/>
        <v>71719.178082191778</v>
      </c>
    </row>
    <row r="58" spans="1:11" s="11" customFormat="1" ht="22.15" customHeight="1" x14ac:dyDescent="0.25">
      <c r="A58" s="3">
        <v>29</v>
      </c>
      <c r="B58" s="4" t="s">
        <v>371</v>
      </c>
      <c r="C58" s="6" t="s">
        <v>372</v>
      </c>
      <c r="D58" s="1">
        <v>44739</v>
      </c>
      <c r="E58" s="8">
        <v>9800000</v>
      </c>
      <c r="F58" s="8"/>
      <c r="G58" s="1"/>
      <c r="H58" s="8">
        <v>9800000</v>
      </c>
      <c r="I58" s="2">
        <v>188</v>
      </c>
      <c r="J58" s="145">
        <v>3.6999999999999998E-2</v>
      </c>
      <c r="K58" s="9">
        <f t="shared" si="2"/>
        <v>93381.917808219179</v>
      </c>
    </row>
    <row r="59" spans="1:11" s="11" customFormat="1" ht="22.15" customHeight="1" x14ac:dyDescent="0.25">
      <c r="A59" s="3">
        <v>40</v>
      </c>
      <c r="B59" s="4" t="s">
        <v>26</v>
      </c>
      <c r="C59" s="6" t="s">
        <v>27</v>
      </c>
      <c r="D59" s="1">
        <v>44739</v>
      </c>
      <c r="E59" s="8">
        <v>3000000</v>
      </c>
      <c r="F59" s="8">
        <v>3000000</v>
      </c>
      <c r="G59" s="1">
        <v>44918</v>
      </c>
      <c r="H59" s="8">
        <v>3000000</v>
      </c>
      <c r="I59" s="2">
        <v>179</v>
      </c>
      <c r="J59" s="145">
        <v>3.6999999999999998E-2</v>
      </c>
      <c r="K59" s="226">
        <f t="shared" si="2"/>
        <v>27217.808219178081</v>
      </c>
    </row>
    <row r="60" spans="1:11" s="11" customFormat="1" ht="22.15" customHeight="1" x14ac:dyDescent="0.25">
      <c r="A60" s="3">
        <v>40</v>
      </c>
      <c r="B60" s="4" t="s">
        <v>26</v>
      </c>
      <c r="C60" s="6" t="s">
        <v>27</v>
      </c>
      <c r="D60" s="1">
        <v>44918</v>
      </c>
      <c r="E60" s="8">
        <v>3000000</v>
      </c>
      <c r="F60" s="8"/>
      <c r="G60" s="1"/>
      <c r="H60" s="8">
        <v>3000000</v>
      </c>
      <c r="I60" s="2">
        <v>9</v>
      </c>
      <c r="J60" s="145">
        <v>3.6999999999999998E-2</v>
      </c>
      <c r="K60" s="227">
        <f t="shared" si="2"/>
        <v>1368.4931506849316</v>
      </c>
    </row>
    <row r="61" spans="1:11" s="11" customFormat="1" ht="21.75" customHeight="1" x14ac:dyDescent="0.25">
      <c r="A61" s="3">
        <v>40</v>
      </c>
      <c r="B61" s="4" t="s">
        <v>147</v>
      </c>
      <c r="C61" s="6" t="s">
        <v>30</v>
      </c>
      <c r="D61" s="1">
        <v>44795</v>
      </c>
      <c r="E61" s="8">
        <v>3000000</v>
      </c>
      <c r="F61" s="8"/>
      <c r="G61" s="1"/>
      <c r="H61" s="8">
        <v>3000000</v>
      </c>
      <c r="I61" s="2">
        <v>132</v>
      </c>
      <c r="J61" s="145">
        <v>3.6999999999999998E-2</v>
      </c>
      <c r="K61" s="228">
        <f t="shared" si="2"/>
        <v>20071.232876712329</v>
      </c>
    </row>
    <row r="62" spans="1:11" s="11" customFormat="1" ht="22.15" customHeight="1" x14ac:dyDescent="0.25">
      <c r="A62" s="3">
        <v>41</v>
      </c>
      <c r="B62" s="4" t="s">
        <v>148</v>
      </c>
      <c r="C62" s="6" t="s">
        <v>19</v>
      </c>
      <c r="D62" s="1">
        <v>44732</v>
      </c>
      <c r="E62" s="8">
        <v>5000000</v>
      </c>
      <c r="F62" s="8"/>
      <c r="G62" s="1"/>
      <c r="H62" s="8">
        <v>5000000</v>
      </c>
      <c r="I62" s="2">
        <v>195</v>
      </c>
      <c r="J62" s="145">
        <v>3.6999999999999998E-2</v>
      </c>
      <c r="K62" s="9">
        <f t="shared" si="2"/>
        <v>49417.808219178085</v>
      </c>
    </row>
    <row r="63" spans="1:11" s="11" customFormat="1" ht="22.15" customHeight="1" x14ac:dyDescent="0.25">
      <c r="A63" s="3">
        <v>42</v>
      </c>
      <c r="B63" s="4" t="s">
        <v>149</v>
      </c>
      <c r="C63" s="6" t="s">
        <v>33</v>
      </c>
      <c r="D63" s="34">
        <v>44818</v>
      </c>
      <c r="E63" s="8">
        <v>4000000</v>
      </c>
      <c r="F63" s="8"/>
      <c r="G63" s="1"/>
      <c r="H63" s="8">
        <v>4000000</v>
      </c>
      <c r="I63" s="2">
        <v>109</v>
      </c>
      <c r="J63" s="145">
        <v>3.6999999999999998E-2</v>
      </c>
      <c r="K63" s="9">
        <f t="shared" si="2"/>
        <v>22098.630136986303</v>
      </c>
    </row>
    <row r="64" spans="1:11" s="11" customFormat="1" ht="22.15" customHeight="1" x14ac:dyDescent="0.25">
      <c r="A64" s="3">
        <v>43</v>
      </c>
      <c r="B64" s="4" t="s">
        <v>38</v>
      </c>
      <c r="C64" s="6" t="s">
        <v>19</v>
      </c>
      <c r="D64" s="1">
        <v>44727</v>
      </c>
      <c r="E64" s="8">
        <v>5000000</v>
      </c>
      <c r="F64" s="8"/>
      <c r="G64" s="1"/>
      <c r="H64" s="8">
        <v>5000000</v>
      </c>
      <c r="I64" s="2">
        <v>200</v>
      </c>
      <c r="J64" s="145">
        <v>3.6999999999999998E-2</v>
      </c>
      <c r="K64" s="9">
        <f t="shared" si="2"/>
        <v>50684.931506849316</v>
      </c>
    </row>
    <row r="65" spans="1:11" s="11" customFormat="1" ht="22.15" customHeight="1" x14ac:dyDescent="0.25">
      <c r="A65" s="3">
        <v>43</v>
      </c>
      <c r="B65" s="4" t="s">
        <v>38</v>
      </c>
      <c r="C65" s="6" t="s">
        <v>40</v>
      </c>
      <c r="D65" s="1">
        <v>44733</v>
      </c>
      <c r="E65" s="8">
        <v>5000000</v>
      </c>
      <c r="F65" s="8"/>
      <c r="G65" s="1"/>
      <c r="H65" s="8">
        <v>5000000</v>
      </c>
      <c r="I65" s="2">
        <v>194</v>
      </c>
      <c r="J65" s="145">
        <v>3.6999999999999998E-2</v>
      </c>
      <c r="K65" s="9">
        <f t="shared" si="2"/>
        <v>49164.383561643837</v>
      </c>
    </row>
    <row r="66" spans="1:11" s="11" customFormat="1" ht="22.15" customHeight="1" x14ac:dyDescent="0.25">
      <c r="A66" s="3">
        <v>44</v>
      </c>
      <c r="B66" s="4" t="s">
        <v>45</v>
      </c>
      <c r="C66" s="6" t="s">
        <v>33</v>
      </c>
      <c r="D66" s="1">
        <v>44826</v>
      </c>
      <c r="E66" s="8">
        <v>10000000</v>
      </c>
      <c r="F66" s="8"/>
      <c r="G66" s="1"/>
      <c r="H66" s="8">
        <v>10000000</v>
      </c>
      <c r="I66" s="2">
        <v>101</v>
      </c>
      <c r="J66" s="145">
        <v>3.6999999999999998E-2</v>
      </c>
      <c r="K66" s="9">
        <f t="shared" si="2"/>
        <v>51191.780821917811</v>
      </c>
    </row>
    <row r="67" spans="1:11" s="11" customFormat="1" ht="22.15" customHeight="1" x14ac:dyDescent="0.25">
      <c r="A67" s="3">
        <v>45</v>
      </c>
      <c r="B67" s="4" t="s">
        <v>50</v>
      </c>
      <c r="C67" s="6" t="s">
        <v>51</v>
      </c>
      <c r="D67" s="1">
        <v>44832</v>
      </c>
      <c r="E67" s="8">
        <v>6500000</v>
      </c>
      <c r="F67" s="8"/>
      <c r="G67" s="1"/>
      <c r="H67" s="8">
        <v>6500000</v>
      </c>
      <c r="I67" s="2">
        <v>95</v>
      </c>
      <c r="J67" s="145">
        <v>3.6499999999999998E-2</v>
      </c>
      <c r="K67" s="9">
        <f t="shared" si="2"/>
        <v>30874.999999999996</v>
      </c>
    </row>
    <row r="68" spans="1:11" s="11" customFormat="1" ht="22.15" customHeight="1" x14ac:dyDescent="0.25">
      <c r="A68" s="3">
        <v>46</v>
      </c>
      <c r="B68" s="4" t="s">
        <v>57</v>
      </c>
      <c r="C68" s="6" t="s">
        <v>51</v>
      </c>
      <c r="D68" s="1">
        <v>44740</v>
      </c>
      <c r="E68" s="8">
        <v>8000000</v>
      </c>
      <c r="F68" s="8"/>
      <c r="G68" s="1"/>
      <c r="H68" s="8">
        <v>8000000</v>
      </c>
      <c r="I68" s="2">
        <v>187</v>
      </c>
      <c r="J68" s="145">
        <v>3.6799999999999999E-2</v>
      </c>
      <c r="K68" s="9">
        <f t="shared" si="2"/>
        <v>75414.794520547948</v>
      </c>
    </row>
    <row r="69" spans="1:11" s="11" customFormat="1" ht="22.15" customHeight="1" x14ac:dyDescent="0.25">
      <c r="A69" s="3">
        <v>47</v>
      </c>
      <c r="B69" s="4" t="s">
        <v>64</v>
      </c>
      <c r="C69" s="6" t="s">
        <v>30</v>
      </c>
      <c r="D69" s="1">
        <v>44796</v>
      </c>
      <c r="E69" s="8">
        <v>5000000</v>
      </c>
      <c r="F69" s="8"/>
      <c r="G69" s="1"/>
      <c r="H69" s="8">
        <v>5000000</v>
      </c>
      <c r="I69" s="2">
        <v>131</v>
      </c>
      <c r="J69" s="145">
        <v>3.6999999999999998E-2</v>
      </c>
      <c r="K69" s="9">
        <f t="shared" si="2"/>
        <v>33198.630136986299</v>
      </c>
    </row>
    <row r="70" spans="1:11" s="142" customFormat="1" x14ac:dyDescent="0.25">
      <c r="A70" s="131">
        <v>47</v>
      </c>
      <c r="B70" s="132" t="s">
        <v>64</v>
      </c>
      <c r="C70" s="134" t="s">
        <v>66</v>
      </c>
      <c r="D70" s="136">
        <v>44904</v>
      </c>
      <c r="E70" s="137">
        <v>15000000</v>
      </c>
      <c r="F70" s="137"/>
      <c r="G70" s="136"/>
      <c r="H70" s="8"/>
      <c r="I70" s="138"/>
      <c r="J70" s="145">
        <v>3.6999999999999998E-2</v>
      </c>
      <c r="K70" s="139">
        <f t="shared" si="2"/>
        <v>0</v>
      </c>
    </row>
    <row r="71" spans="1:11" s="11" customFormat="1" ht="22.15" customHeight="1" x14ac:dyDescent="0.25">
      <c r="A71" s="3">
        <v>47</v>
      </c>
      <c r="B71" s="4" t="s">
        <v>64</v>
      </c>
      <c r="C71" s="6" t="s">
        <v>75</v>
      </c>
      <c r="D71" s="1">
        <v>44810</v>
      </c>
      <c r="E71" s="8">
        <v>15000000</v>
      </c>
      <c r="F71" s="1"/>
      <c r="G71" s="1"/>
      <c r="H71" s="8">
        <v>5000000</v>
      </c>
      <c r="I71" s="2">
        <v>117</v>
      </c>
      <c r="J71" s="145">
        <v>3.6999999999999998E-2</v>
      </c>
      <c r="K71" s="9">
        <f t="shared" si="2"/>
        <v>29650.68493150685</v>
      </c>
    </row>
    <row r="72" spans="1:11" s="142" customFormat="1" ht="22.15" customHeight="1" x14ac:dyDescent="0.25">
      <c r="A72" s="131">
        <v>47</v>
      </c>
      <c r="B72" s="132" t="s">
        <v>64</v>
      </c>
      <c r="C72" s="134" t="s">
        <v>75</v>
      </c>
      <c r="D72" s="136">
        <v>44834</v>
      </c>
      <c r="E72" s="137">
        <v>15000000</v>
      </c>
      <c r="F72" s="136"/>
      <c r="G72" s="136"/>
      <c r="H72" s="8"/>
      <c r="I72" s="138"/>
      <c r="J72" s="145">
        <v>3.6999999999999998E-2</v>
      </c>
      <c r="K72" s="139">
        <f t="shared" si="2"/>
        <v>0</v>
      </c>
    </row>
    <row r="73" spans="1:11" s="142" customFormat="1" ht="22.15" customHeight="1" x14ac:dyDescent="0.25">
      <c r="A73" s="131">
        <v>47</v>
      </c>
      <c r="B73" s="132" t="s">
        <v>64</v>
      </c>
      <c r="C73" s="134" t="s">
        <v>68</v>
      </c>
      <c r="D73" s="136">
        <v>44742</v>
      </c>
      <c r="E73" s="137">
        <v>4000000</v>
      </c>
      <c r="F73" s="137"/>
      <c r="G73" s="136"/>
      <c r="H73" s="8"/>
      <c r="I73" s="138"/>
      <c r="J73" s="145">
        <v>3.6999999999999998E-2</v>
      </c>
      <c r="K73" s="139">
        <f t="shared" si="2"/>
        <v>0</v>
      </c>
    </row>
    <row r="74" spans="1:11" s="142" customFormat="1" ht="22.15" customHeight="1" x14ac:dyDescent="0.25">
      <c r="A74" s="131">
        <v>47</v>
      </c>
      <c r="B74" s="132" t="s">
        <v>64</v>
      </c>
      <c r="C74" s="134" t="s">
        <v>68</v>
      </c>
      <c r="D74" s="136">
        <v>44876</v>
      </c>
      <c r="E74" s="137">
        <v>4000000</v>
      </c>
      <c r="F74" s="137"/>
      <c r="G74" s="136"/>
      <c r="H74" s="8"/>
      <c r="I74" s="138"/>
      <c r="J74" s="145">
        <v>3.6999999999999998E-2</v>
      </c>
      <c r="K74" s="139">
        <f t="shared" si="2"/>
        <v>0</v>
      </c>
    </row>
    <row r="75" spans="1:11" x14ac:dyDescent="0.25">
      <c r="A75" s="3">
        <v>48</v>
      </c>
      <c r="B75" s="4" t="s">
        <v>475</v>
      </c>
      <c r="C75" s="6" t="s">
        <v>460</v>
      </c>
      <c r="D75" s="1">
        <v>44855</v>
      </c>
      <c r="E75" s="8">
        <v>10000000</v>
      </c>
      <c r="F75" s="205"/>
      <c r="G75" s="205"/>
      <c r="H75" s="8">
        <v>10000000</v>
      </c>
      <c r="I75" s="205">
        <v>72</v>
      </c>
      <c r="J75" s="145">
        <v>3.6999999999999998E-2</v>
      </c>
      <c r="K75" s="9">
        <f t="shared" si="2"/>
        <v>36493.150684931505</v>
      </c>
    </row>
  </sheetData>
  <autoFilter ref="A1:K74"/>
  <mergeCells count="1">
    <mergeCell ref="K59:K61"/>
  </mergeCells>
  <phoneticPr fontId="16" type="noConversion"/>
  <pageMargins left="0.75" right="0.75" top="1" bottom="1" header="0.5" footer="0.5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opLeftCell="A56" zoomScale="80" zoomScaleNormal="80" workbookViewId="0">
      <selection activeCell="L75" sqref="L75"/>
    </sheetView>
  </sheetViews>
  <sheetFormatPr defaultColWidth="9" defaultRowHeight="14" x14ac:dyDescent="0.25"/>
  <cols>
    <col min="1" max="1" width="6.36328125" style="24" customWidth="1"/>
    <col min="2" max="2" width="27.6328125" style="25" bestFit="1" customWidth="1"/>
    <col min="3" max="3" width="31.453125" style="25" customWidth="1"/>
    <col min="4" max="4" width="15.90625" style="24" customWidth="1"/>
    <col min="5" max="6" width="12.36328125" style="24" customWidth="1"/>
    <col min="7" max="7" width="16.90625" style="24" customWidth="1"/>
    <col min="8" max="8" width="9" style="25"/>
    <col min="9" max="9" width="11.36328125" style="25" customWidth="1"/>
    <col min="10" max="16384" width="9" style="25"/>
  </cols>
  <sheetData>
    <row r="1" spans="1:7" ht="31.5" customHeight="1" x14ac:dyDescent="0.25">
      <c r="A1" s="244" t="s">
        <v>393</v>
      </c>
      <c r="B1" s="244"/>
      <c r="C1" s="244"/>
      <c r="D1" s="244"/>
      <c r="E1" s="244"/>
      <c r="F1" s="244"/>
      <c r="G1" s="244"/>
    </row>
    <row r="2" spans="1:7" s="23" customFormat="1" ht="30" customHeight="1" x14ac:dyDescent="0.25">
      <c r="A2" s="30" t="s">
        <v>13</v>
      </c>
      <c r="B2" s="12" t="s">
        <v>0</v>
      </c>
      <c r="C2" s="14" t="s">
        <v>2</v>
      </c>
      <c r="D2" s="147" t="s">
        <v>392</v>
      </c>
      <c r="E2" s="144" t="s">
        <v>391</v>
      </c>
      <c r="F2" s="144" t="s">
        <v>390</v>
      </c>
      <c r="G2" s="21" t="s">
        <v>17</v>
      </c>
    </row>
    <row r="3" spans="1:7" s="11" customFormat="1" ht="22.15" customHeight="1" x14ac:dyDescent="0.25">
      <c r="A3" s="3">
        <v>1</v>
      </c>
      <c r="B3" s="4" t="s">
        <v>236</v>
      </c>
      <c r="C3" s="6" t="s">
        <v>237</v>
      </c>
      <c r="D3" s="8">
        <v>5000000</v>
      </c>
      <c r="E3" s="2">
        <v>184</v>
      </c>
      <c r="F3" s="145">
        <v>3.6999999999999998E-2</v>
      </c>
      <c r="G3" s="9">
        <f>INT(D3*F3*E3/365*50%)</f>
        <v>46630</v>
      </c>
    </row>
    <row r="4" spans="1:7" s="11" customFormat="1" ht="22.15" customHeight="1" x14ac:dyDescent="0.25">
      <c r="A4" s="3">
        <v>2</v>
      </c>
      <c r="B4" s="4" t="s">
        <v>241</v>
      </c>
      <c r="C4" s="6" t="s">
        <v>242</v>
      </c>
      <c r="D4" s="8">
        <v>9000000</v>
      </c>
      <c r="E4" s="2">
        <v>107</v>
      </c>
      <c r="F4" s="145">
        <v>3.6999999999999998E-2</v>
      </c>
      <c r="G4" s="9">
        <f t="shared" ref="G4:G66" si="0">INT(D4*F4*E4/365*50%)</f>
        <v>48809</v>
      </c>
    </row>
    <row r="5" spans="1:7" s="11" customFormat="1" ht="25.15" customHeight="1" x14ac:dyDescent="0.25">
      <c r="A5" s="3">
        <v>3</v>
      </c>
      <c r="B5" s="4" t="s">
        <v>246</v>
      </c>
      <c r="C5" s="6" t="s">
        <v>247</v>
      </c>
      <c r="D5" s="8">
        <v>10000000</v>
      </c>
      <c r="E5" s="2">
        <v>125</v>
      </c>
      <c r="F5" s="145">
        <v>3.6999999999999998E-2</v>
      </c>
      <c r="G5" s="9">
        <f t="shared" si="0"/>
        <v>63356</v>
      </c>
    </row>
    <row r="6" spans="1:7" s="11" customFormat="1" ht="22.15" customHeight="1" x14ac:dyDescent="0.25">
      <c r="A6" s="3">
        <v>4</v>
      </c>
      <c r="B6" s="4" t="s">
        <v>252</v>
      </c>
      <c r="C6" s="6" t="s">
        <v>253</v>
      </c>
      <c r="D6" s="8">
        <v>10000000</v>
      </c>
      <c r="E6" s="2">
        <v>191</v>
      </c>
      <c r="F6" s="145">
        <v>3.2000000000000001E-2</v>
      </c>
      <c r="G6" s="9">
        <f t="shared" si="0"/>
        <v>83726</v>
      </c>
    </row>
    <row r="7" spans="1:7" s="11" customFormat="1" ht="22.15" customHeight="1" x14ac:dyDescent="0.25">
      <c r="A7" s="3">
        <v>5</v>
      </c>
      <c r="B7" s="4" t="s">
        <v>257</v>
      </c>
      <c r="C7" s="6" t="s">
        <v>258</v>
      </c>
      <c r="D7" s="8">
        <v>8000000</v>
      </c>
      <c r="E7" s="2">
        <v>186</v>
      </c>
      <c r="F7" s="145">
        <v>3.6999999999999998E-2</v>
      </c>
      <c r="G7" s="9">
        <f t="shared" si="0"/>
        <v>75419</v>
      </c>
    </row>
    <row r="8" spans="1:7" s="11" customFormat="1" ht="22.15" customHeight="1" x14ac:dyDescent="0.25">
      <c r="A8" s="3">
        <v>5</v>
      </c>
      <c r="B8" s="4" t="s">
        <v>257</v>
      </c>
      <c r="C8" s="6" t="s">
        <v>264</v>
      </c>
      <c r="D8" s="8">
        <v>2000000</v>
      </c>
      <c r="E8" s="2">
        <v>178</v>
      </c>
      <c r="F8" s="145">
        <v>3.6999999999999998E-2</v>
      </c>
      <c r="G8" s="9">
        <f t="shared" si="0"/>
        <v>18043</v>
      </c>
    </row>
    <row r="9" spans="1:7" s="11" customFormat="1" ht="22.15" customHeight="1" x14ac:dyDescent="0.25">
      <c r="A9" s="3">
        <v>6</v>
      </c>
      <c r="B9" s="4" t="s">
        <v>266</v>
      </c>
      <c r="C9" s="6" t="s">
        <v>237</v>
      </c>
      <c r="D9" s="8">
        <v>10000000</v>
      </c>
      <c r="E9" s="2">
        <v>101</v>
      </c>
      <c r="F9" s="145">
        <v>3.6499999999999998E-2</v>
      </c>
      <c r="G9" s="9">
        <f t="shared" si="0"/>
        <v>50500</v>
      </c>
    </row>
    <row r="10" spans="1:7" s="77" customFormat="1" ht="22.15" customHeight="1" x14ac:dyDescent="0.25">
      <c r="A10" s="3">
        <v>7</v>
      </c>
      <c r="B10" s="4" t="s">
        <v>270</v>
      </c>
      <c r="C10" s="6" t="s">
        <v>271</v>
      </c>
      <c r="D10" s="8">
        <v>3000000</v>
      </c>
      <c r="E10" s="2">
        <v>216</v>
      </c>
      <c r="F10" s="145">
        <v>3.6999999999999998E-2</v>
      </c>
      <c r="G10" s="9">
        <f t="shared" si="0"/>
        <v>32843</v>
      </c>
    </row>
    <row r="11" spans="1:7" s="77" customFormat="1" ht="22.15" customHeight="1" x14ac:dyDescent="0.25">
      <c r="A11" s="3">
        <v>7</v>
      </c>
      <c r="B11" s="4" t="s">
        <v>270</v>
      </c>
      <c r="C11" s="6" t="s">
        <v>275</v>
      </c>
      <c r="D11" s="8">
        <v>5000000</v>
      </c>
      <c r="E11" s="2">
        <v>145</v>
      </c>
      <c r="F11" s="145">
        <v>3.6999999999999998E-2</v>
      </c>
      <c r="G11" s="9">
        <f t="shared" si="0"/>
        <v>36746</v>
      </c>
    </row>
    <row r="12" spans="1:7" s="77" customFormat="1" ht="22.15" customHeight="1" x14ac:dyDescent="0.25">
      <c r="A12" s="3">
        <v>8</v>
      </c>
      <c r="B12" s="4" t="s">
        <v>277</v>
      </c>
      <c r="C12" s="6" t="s">
        <v>278</v>
      </c>
      <c r="D12" s="8">
        <v>5000000</v>
      </c>
      <c r="E12" s="2">
        <v>250</v>
      </c>
      <c r="F12" s="145">
        <v>3.6999999999999998E-2</v>
      </c>
      <c r="G12" s="9">
        <f t="shared" si="0"/>
        <v>63356</v>
      </c>
    </row>
    <row r="13" spans="1:7" s="77" customFormat="1" ht="22.15" customHeight="1" x14ac:dyDescent="0.25">
      <c r="A13" s="3">
        <v>9</v>
      </c>
      <c r="B13" s="4" t="s">
        <v>165</v>
      </c>
      <c r="C13" s="6" t="s">
        <v>166</v>
      </c>
      <c r="D13" s="8">
        <v>2000000</v>
      </c>
      <c r="E13" s="2">
        <v>46</v>
      </c>
      <c r="F13" s="145">
        <v>3.6999999999999998E-2</v>
      </c>
      <c r="G13" s="9">
        <f t="shared" si="0"/>
        <v>4663</v>
      </c>
    </row>
    <row r="14" spans="1:7" s="77" customFormat="1" ht="22.15" customHeight="1" x14ac:dyDescent="0.25">
      <c r="A14" s="3">
        <v>9</v>
      </c>
      <c r="B14" s="4" t="s">
        <v>165</v>
      </c>
      <c r="C14" s="6" t="s">
        <v>166</v>
      </c>
      <c r="D14" s="8">
        <v>2000000</v>
      </c>
      <c r="E14" s="2">
        <v>138</v>
      </c>
      <c r="F14" s="145">
        <v>3.4000000000000002E-2</v>
      </c>
      <c r="G14" s="9">
        <f t="shared" si="0"/>
        <v>12854</v>
      </c>
    </row>
    <row r="15" spans="1:7" s="77" customFormat="1" x14ac:dyDescent="0.25">
      <c r="A15" s="3">
        <v>9</v>
      </c>
      <c r="B15" s="4" t="s">
        <v>165</v>
      </c>
      <c r="C15" s="6" t="s">
        <v>166</v>
      </c>
      <c r="D15" s="8">
        <v>8000000</v>
      </c>
      <c r="E15" s="2">
        <v>114</v>
      </c>
      <c r="F15" s="145">
        <v>3.4000000000000002E-2</v>
      </c>
      <c r="G15" s="9">
        <f t="shared" si="0"/>
        <v>42476</v>
      </c>
    </row>
    <row r="16" spans="1:7" s="77" customFormat="1" ht="22.15" customHeight="1" x14ac:dyDescent="0.25">
      <c r="A16" s="3">
        <v>10</v>
      </c>
      <c r="B16" s="4" t="s">
        <v>175</v>
      </c>
      <c r="C16" s="6" t="s">
        <v>176</v>
      </c>
      <c r="D16" s="8">
        <v>2995000</v>
      </c>
      <c r="E16" s="2">
        <v>180</v>
      </c>
      <c r="F16" s="145">
        <v>3.6999999999999998E-2</v>
      </c>
      <c r="G16" s="9">
        <f t="shared" si="0"/>
        <v>27324</v>
      </c>
    </row>
    <row r="17" spans="1:7" s="77" customFormat="1" ht="22.15" customHeight="1" x14ac:dyDescent="0.25">
      <c r="A17" s="3">
        <v>10</v>
      </c>
      <c r="B17" s="4" t="s">
        <v>175</v>
      </c>
      <c r="C17" s="6" t="s">
        <v>176</v>
      </c>
      <c r="D17" s="8">
        <v>5000</v>
      </c>
      <c r="E17" s="2">
        <v>175</v>
      </c>
      <c r="F17" s="145">
        <v>3.6999999999999998E-2</v>
      </c>
      <c r="G17" s="9">
        <f t="shared" si="0"/>
        <v>44</v>
      </c>
    </row>
    <row r="18" spans="1:7" s="77" customFormat="1" ht="22.15" customHeight="1" x14ac:dyDescent="0.25">
      <c r="A18" s="3">
        <v>10</v>
      </c>
      <c r="B18" s="4" t="s">
        <v>175</v>
      </c>
      <c r="C18" s="6" t="s">
        <v>182</v>
      </c>
      <c r="D18" s="8">
        <v>2000000</v>
      </c>
      <c r="E18" s="2">
        <v>200</v>
      </c>
      <c r="F18" s="145">
        <v>3.6999999999999998E-2</v>
      </c>
      <c r="G18" s="9">
        <f t="shared" si="0"/>
        <v>20273</v>
      </c>
    </row>
    <row r="19" spans="1:7" s="77" customFormat="1" ht="22.15" customHeight="1" x14ac:dyDescent="0.25">
      <c r="A19" s="3">
        <v>10</v>
      </c>
      <c r="B19" s="4" t="s">
        <v>175</v>
      </c>
      <c r="C19" s="6" t="s">
        <v>182</v>
      </c>
      <c r="D19" s="8">
        <v>3000000</v>
      </c>
      <c r="E19" s="2">
        <v>200</v>
      </c>
      <c r="F19" s="145">
        <v>3.6999999999999998E-2</v>
      </c>
      <c r="G19" s="9">
        <f t="shared" si="0"/>
        <v>30410</v>
      </c>
    </row>
    <row r="20" spans="1:7" s="77" customFormat="1" ht="22.15" customHeight="1" x14ac:dyDescent="0.25">
      <c r="A20" s="3">
        <v>10</v>
      </c>
      <c r="B20" s="4" t="s">
        <v>175</v>
      </c>
      <c r="C20" s="6" t="s">
        <v>182</v>
      </c>
      <c r="D20" s="8">
        <v>2000000</v>
      </c>
      <c r="E20" s="2">
        <v>199</v>
      </c>
      <c r="F20" s="145">
        <v>3.6999999999999998E-2</v>
      </c>
      <c r="G20" s="9">
        <f t="shared" si="0"/>
        <v>20172</v>
      </c>
    </row>
    <row r="21" spans="1:7" s="77" customFormat="1" ht="22.15" customHeight="1" x14ac:dyDescent="0.25">
      <c r="A21" s="3">
        <v>10</v>
      </c>
      <c r="B21" s="4" t="s">
        <v>175</v>
      </c>
      <c r="C21" s="6" t="s">
        <v>186</v>
      </c>
      <c r="D21" s="8">
        <v>1000000</v>
      </c>
      <c r="E21" s="2">
        <v>74</v>
      </c>
      <c r="F21" s="145">
        <v>3.6999999999999998E-2</v>
      </c>
      <c r="G21" s="9">
        <f t="shared" si="0"/>
        <v>3750</v>
      </c>
    </row>
    <row r="22" spans="1:7" s="77" customFormat="1" ht="22.15" customHeight="1" x14ac:dyDescent="0.25">
      <c r="A22" s="3">
        <v>10</v>
      </c>
      <c r="B22" s="4" t="s">
        <v>175</v>
      </c>
      <c r="C22" s="6" t="s">
        <v>182</v>
      </c>
      <c r="D22" s="8">
        <v>2995000</v>
      </c>
      <c r="E22" s="2">
        <v>19</v>
      </c>
      <c r="F22" s="145">
        <v>3.6999999999999998E-2</v>
      </c>
      <c r="G22" s="9">
        <f t="shared" si="0"/>
        <v>2884</v>
      </c>
    </row>
    <row r="23" spans="1:7" s="77" customFormat="1" ht="22.15" customHeight="1" x14ac:dyDescent="0.25">
      <c r="A23" s="3">
        <v>10</v>
      </c>
      <c r="B23" s="4" t="s">
        <v>175</v>
      </c>
      <c r="C23" s="6" t="s">
        <v>182</v>
      </c>
      <c r="D23" s="8">
        <v>5000</v>
      </c>
      <c r="E23" s="2">
        <v>24</v>
      </c>
      <c r="F23" s="145">
        <v>3.6999999999999998E-2</v>
      </c>
      <c r="G23" s="9">
        <f t="shared" si="0"/>
        <v>6</v>
      </c>
    </row>
    <row r="24" spans="1:7" s="11" customFormat="1" ht="22.15" customHeight="1" x14ac:dyDescent="0.25">
      <c r="A24" s="99">
        <v>11</v>
      </c>
      <c r="B24" s="4" t="s">
        <v>188</v>
      </c>
      <c r="C24" s="6" t="s">
        <v>189</v>
      </c>
      <c r="D24" s="8">
        <v>1800000</v>
      </c>
      <c r="E24" s="2">
        <v>137</v>
      </c>
      <c r="F24" s="145">
        <v>3.6999999999999998E-2</v>
      </c>
      <c r="G24" s="9">
        <f t="shared" si="0"/>
        <v>12498</v>
      </c>
    </row>
    <row r="25" spans="1:7" s="11" customFormat="1" ht="22.15" customHeight="1" x14ac:dyDescent="0.25">
      <c r="A25" s="99">
        <v>11</v>
      </c>
      <c r="B25" s="4" t="s">
        <v>188</v>
      </c>
      <c r="C25" s="6" t="s">
        <v>189</v>
      </c>
      <c r="D25" s="8">
        <v>3500000</v>
      </c>
      <c r="E25" s="2">
        <v>137</v>
      </c>
      <c r="F25" s="145">
        <v>3.6999999999999998E-2</v>
      </c>
      <c r="G25" s="9">
        <f t="shared" si="0"/>
        <v>24303</v>
      </c>
    </row>
    <row r="26" spans="1:7" s="11" customFormat="1" ht="22.15" customHeight="1" x14ac:dyDescent="0.25">
      <c r="A26" s="99">
        <v>11</v>
      </c>
      <c r="B26" s="4" t="s">
        <v>188</v>
      </c>
      <c r="C26" s="6" t="s">
        <v>189</v>
      </c>
      <c r="D26" s="8">
        <v>4700000</v>
      </c>
      <c r="E26" s="2">
        <v>139</v>
      </c>
      <c r="F26" s="145">
        <v>3.6999999999999998E-2</v>
      </c>
      <c r="G26" s="9">
        <f t="shared" si="0"/>
        <v>33112</v>
      </c>
    </row>
    <row r="27" spans="1:7" s="11" customFormat="1" ht="22.15" customHeight="1" x14ac:dyDescent="0.25">
      <c r="A27" s="3">
        <v>12</v>
      </c>
      <c r="B27" s="4" t="s">
        <v>195</v>
      </c>
      <c r="C27" s="100" t="s">
        <v>33</v>
      </c>
      <c r="D27" s="8">
        <v>3000000</v>
      </c>
      <c r="E27" s="2">
        <v>138</v>
      </c>
      <c r="F27" s="145">
        <v>3.6999999999999998E-2</v>
      </c>
      <c r="G27" s="9">
        <f t="shared" si="0"/>
        <v>20983</v>
      </c>
    </row>
    <row r="28" spans="1:7" s="11" customFormat="1" ht="22.15" customHeight="1" x14ac:dyDescent="0.25">
      <c r="A28" s="3">
        <v>12</v>
      </c>
      <c r="B28" s="4" t="s">
        <v>195</v>
      </c>
      <c r="C28" s="6" t="s">
        <v>200</v>
      </c>
      <c r="D28" s="8">
        <v>5000000</v>
      </c>
      <c r="E28" s="2">
        <v>104</v>
      </c>
      <c r="F28" s="145">
        <v>3.6999999999999998E-2</v>
      </c>
      <c r="G28" s="9">
        <f t="shared" si="0"/>
        <v>26356</v>
      </c>
    </row>
    <row r="29" spans="1:7" s="11" customFormat="1" ht="22.15" customHeight="1" x14ac:dyDescent="0.25">
      <c r="A29" s="3">
        <v>12</v>
      </c>
      <c r="B29" s="4" t="s">
        <v>195</v>
      </c>
      <c r="C29" s="6" t="s">
        <v>200</v>
      </c>
      <c r="D29" s="8">
        <v>2000000</v>
      </c>
      <c r="E29" s="2">
        <v>79</v>
      </c>
      <c r="F29" s="145">
        <v>3.6999999999999998E-2</v>
      </c>
      <c r="G29" s="9">
        <f t="shared" si="0"/>
        <v>8008</v>
      </c>
    </row>
    <row r="30" spans="1:7" s="11" customFormat="1" ht="22.15" customHeight="1" x14ac:dyDescent="0.25">
      <c r="A30" s="3">
        <v>13</v>
      </c>
      <c r="B30" s="4" t="s">
        <v>202</v>
      </c>
      <c r="C30" s="6" t="s">
        <v>176</v>
      </c>
      <c r="D30" s="8">
        <v>3000000</v>
      </c>
      <c r="E30" s="2">
        <v>104</v>
      </c>
      <c r="F30" s="145">
        <v>3.6999999999999998E-2</v>
      </c>
      <c r="G30" s="9">
        <f t="shared" si="0"/>
        <v>15813</v>
      </c>
    </row>
    <row r="31" spans="1:7" s="11" customFormat="1" ht="22.15" customHeight="1" x14ac:dyDescent="0.25">
      <c r="A31" s="3">
        <v>13</v>
      </c>
      <c r="B31" s="4" t="s">
        <v>202</v>
      </c>
      <c r="C31" s="6" t="s">
        <v>176</v>
      </c>
      <c r="D31" s="8">
        <v>3000000</v>
      </c>
      <c r="E31" s="2">
        <v>80</v>
      </c>
      <c r="F31" s="145">
        <v>3.6999999999999998E-2</v>
      </c>
      <c r="G31" s="9">
        <f t="shared" si="0"/>
        <v>12164</v>
      </c>
    </row>
    <row r="32" spans="1:7" s="11" customFormat="1" ht="22.15" customHeight="1" x14ac:dyDescent="0.25">
      <c r="A32" s="3">
        <v>14</v>
      </c>
      <c r="B32" s="100" t="s">
        <v>209</v>
      </c>
      <c r="C32" s="6" t="s">
        <v>33</v>
      </c>
      <c r="D32" s="8">
        <v>4000000</v>
      </c>
      <c r="E32" s="2">
        <v>75</v>
      </c>
      <c r="F32" s="145">
        <v>3.6999999999999998E-2</v>
      </c>
      <c r="G32" s="9">
        <f t="shared" si="0"/>
        <v>15205</v>
      </c>
    </row>
    <row r="33" spans="1:7" s="11" customFormat="1" ht="22.15" customHeight="1" x14ac:dyDescent="0.25">
      <c r="A33" s="3">
        <v>15</v>
      </c>
      <c r="B33" s="4" t="s">
        <v>214</v>
      </c>
      <c r="C33" s="6" t="s">
        <v>30</v>
      </c>
      <c r="D33" s="8">
        <v>5000000</v>
      </c>
      <c r="E33" s="2">
        <v>80</v>
      </c>
      <c r="F33" s="145">
        <v>3.6999999999999998E-2</v>
      </c>
      <c r="G33" s="9">
        <f t="shared" si="0"/>
        <v>20273</v>
      </c>
    </row>
    <row r="34" spans="1:7" s="11" customFormat="1" ht="22.15" customHeight="1" x14ac:dyDescent="0.25">
      <c r="A34" s="3">
        <v>15</v>
      </c>
      <c r="B34" s="4" t="s">
        <v>214</v>
      </c>
      <c r="C34" s="6" t="s">
        <v>30</v>
      </c>
      <c r="D34" s="8">
        <v>5000000</v>
      </c>
      <c r="E34" s="2">
        <v>104</v>
      </c>
      <c r="F34" s="145">
        <v>3.6999999999999998E-2</v>
      </c>
      <c r="G34" s="9">
        <f t="shared" si="0"/>
        <v>26356</v>
      </c>
    </row>
    <row r="35" spans="1:7" s="11" customFormat="1" ht="21" customHeight="1" x14ac:dyDescent="0.25">
      <c r="A35" s="3">
        <v>16</v>
      </c>
      <c r="B35" s="4" t="s">
        <v>222</v>
      </c>
      <c r="C35" s="105" t="s">
        <v>282</v>
      </c>
      <c r="D35" s="8">
        <v>10000000</v>
      </c>
      <c r="E35" s="2">
        <v>168</v>
      </c>
      <c r="F35" s="145">
        <v>3.6999999999999998E-2</v>
      </c>
      <c r="G35" s="9">
        <f t="shared" si="0"/>
        <v>85150</v>
      </c>
    </row>
    <row r="36" spans="1:7" s="11" customFormat="1" ht="21" customHeight="1" x14ac:dyDescent="0.25">
      <c r="A36" s="3">
        <v>16</v>
      </c>
      <c r="B36" s="4" t="s">
        <v>222</v>
      </c>
      <c r="C36" s="105" t="s">
        <v>176</v>
      </c>
      <c r="D36" s="8">
        <v>10000000</v>
      </c>
      <c r="E36" s="2">
        <v>16</v>
      </c>
      <c r="F36" s="145">
        <v>3.5999999999999997E-2</v>
      </c>
      <c r="G36" s="9">
        <f t="shared" si="0"/>
        <v>7890</v>
      </c>
    </row>
    <row r="37" spans="1:7" s="11" customFormat="1" ht="22.15" customHeight="1" x14ac:dyDescent="0.25">
      <c r="A37" s="3">
        <v>17</v>
      </c>
      <c r="B37" s="4" t="s">
        <v>287</v>
      </c>
      <c r="C37" s="6" t="s">
        <v>288</v>
      </c>
      <c r="D37" s="8">
        <v>4000000</v>
      </c>
      <c r="E37" s="2">
        <v>171</v>
      </c>
      <c r="F37" s="145">
        <v>3.6999999999999998E-2</v>
      </c>
      <c r="G37" s="9">
        <f t="shared" si="0"/>
        <v>34668</v>
      </c>
    </row>
    <row r="38" spans="1:7" s="121" customFormat="1" ht="22.15" customHeight="1" x14ac:dyDescent="0.25">
      <c r="A38" s="107">
        <v>17</v>
      </c>
      <c r="B38" s="108" t="s">
        <v>225</v>
      </c>
      <c r="C38" s="110" t="s">
        <v>294</v>
      </c>
      <c r="D38" s="8">
        <v>3000000</v>
      </c>
      <c r="E38" s="2">
        <v>184</v>
      </c>
      <c r="F38" s="145">
        <v>3.6999999999999998E-2</v>
      </c>
      <c r="G38" s="9">
        <f t="shared" si="0"/>
        <v>27978</v>
      </c>
    </row>
    <row r="39" spans="1:7" s="11" customFormat="1" x14ac:dyDescent="0.25">
      <c r="A39" s="3">
        <v>17</v>
      </c>
      <c r="B39" s="4" t="s">
        <v>225</v>
      </c>
      <c r="C39" s="6" t="s">
        <v>281</v>
      </c>
      <c r="D39" s="8">
        <v>3000000</v>
      </c>
      <c r="E39" s="2">
        <v>175</v>
      </c>
      <c r="F39" s="145">
        <v>3.6999999999999998E-2</v>
      </c>
      <c r="G39" s="9">
        <f t="shared" si="0"/>
        <v>26609</v>
      </c>
    </row>
    <row r="40" spans="1:7" s="129" customFormat="1" ht="26.25" customHeight="1" x14ac:dyDescent="0.25">
      <c r="A40" s="3">
        <v>18</v>
      </c>
      <c r="B40" s="4" t="s">
        <v>298</v>
      </c>
      <c r="C40" s="6" t="s">
        <v>299</v>
      </c>
      <c r="D40" s="8">
        <v>10000000</v>
      </c>
      <c r="E40" s="2">
        <v>191</v>
      </c>
      <c r="F40" s="145">
        <v>3.5999999999999997E-2</v>
      </c>
      <c r="G40" s="9">
        <f t="shared" si="0"/>
        <v>94191</v>
      </c>
    </row>
    <row r="41" spans="1:7" s="11" customFormat="1" x14ac:dyDescent="0.25">
      <c r="A41" s="3">
        <v>19</v>
      </c>
      <c r="B41" s="4" t="s">
        <v>304</v>
      </c>
      <c r="C41" s="6" t="s">
        <v>305</v>
      </c>
      <c r="D41" s="8">
        <v>8000000</v>
      </c>
      <c r="E41" s="2">
        <v>188</v>
      </c>
      <c r="F41" s="145">
        <v>3.6999999999999998E-2</v>
      </c>
      <c r="G41" s="9">
        <f t="shared" si="0"/>
        <v>76230</v>
      </c>
    </row>
    <row r="42" spans="1:7" s="11" customFormat="1" x14ac:dyDescent="0.25">
      <c r="A42" s="3">
        <v>20</v>
      </c>
      <c r="B42" s="4" t="s">
        <v>310</v>
      </c>
      <c r="C42" s="6" t="s">
        <v>311</v>
      </c>
      <c r="D42" s="8">
        <v>5000000</v>
      </c>
      <c r="E42" s="2">
        <v>192</v>
      </c>
      <c r="F42" s="145">
        <v>3.6999999999999998E-2</v>
      </c>
      <c r="G42" s="9">
        <f t="shared" si="0"/>
        <v>48657</v>
      </c>
    </row>
    <row r="43" spans="1:7" s="11" customFormat="1" ht="22.15" customHeight="1" x14ac:dyDescent="0.25">
      <c r="A43" s="3">
        <v>21</v>
      </c>
      <c r="B43" s="4" t="s">
        <v>316</v>
      </c>
      <c r="C43" s="6" t="s">
        <v>317</v>
      </c>
      <c r="D43" s="8">
        <v>3942415</v>
      </c>
      <c r="E43" s="2">
        <v>74</v>
      </c>
      <c r="F43" s="145">
        <v>3.6999999999999998E-2</v>
      </c>
      <c r="G43" s="9">
        <f t="shared" si="0"/>
        <v>14786</v>
      </c>
    </row>
    <row r="44" spans="1:7" s="11" customFormat="1" ht="22.15" customHeight="1" x14ac:dyDescent="0.25">
      <c r="A44" s="3">
        <v>21</v>
      </c>
      <c r="B44" s="4" t="s">
        <v>230</v>
      </c>
      <c r="C44" s="6" t="s">
        <v>231</v>
      </c>
      <c r="D44" s="8">
        <v>1057587</v>
      </c>
      <c r="E44" s="2">
        <v>25</v>
      </c>
      <c r="F44" s="145">
        <v>3.6999999999999998E-2</v>
      </c>
      <c r="G44" s="9">
        <f t="shared" si="0"/>
        <v>1340</v>
      </c>
    </row>
    <row r="45" spans="1:7" s="11" customFormat="1" x14ac:dyDescent="0.25">
      <c r="A45" s="3">
        <v>22</v>
      </c>
      <c r="B45" s="4" t="s">
        <v>324</v>
      </c>
      <c r="C45" s="6" t="s">
        <v>237</v>
      </c>
      <c r="D45" s="8">
        <v>6000000</v>
      </c>
      <c r="E45" s="2">
        <v>150</v>
      </c>
      <c r="F45" s="145">
        <v>3.6999999999999998E-2</v>
      </c>
      <c r="G45" s="9">
        <f t="shared" si="0"/>
        <v>45616</v>
      </c>
    </row>
    <row r="46" spans="1:7" s="11" customFormat="1" ht="22.15" customHeight="1" x14ac:dyDescent="0.25">
      <c r="A46" s="3">
        <v>23</v>
      </c>
      <c r="B46" s="4" t="s">
        <v>329</v>
      </c>
      <c r="C46" s="6" t="s">
        <v>330</v>
      </c>
      <c r="D46" s="8">
        <v>10000000</v>
      </c>
      <c r="E46" s="2">
        <v>100</v>
      </c>
      <c r="F46" s="145">
        <v>3.5000000000000003E-2</v>
      </c>
      <c r="G46" s="9">
        <f t="shared" si="0"/>
        <v>47945</v>
      </c>
    </row>
    <row r="47" spans="1:7" s="121" customFormat="1" x14ac:dyDescent="0.25">
      <c r="A47" s="107">
        <v>24</v>
      </c>
      <c r="B47" s="108" t="s">
        <v>337</v>
      </c>
      <c r="C47" s="110" t="s">
        <v>338</v>
      </c>
      <c r="D47" s="113">
        <v>10000000</v>
      </c>
      <c r="E47" s="2">
        <v>187</v>
      </c>
      <c r="F47" s="145">
        <v>3.6999999999999998E-2</v>
      </c>
      <c r="G47" s="9">
        <f t="shared" si="0"/>
        <v>94780</v>
      </c>
    </row>
    <row r="48" spans="1:7" s="11" customFormat="1" ht="22.15" customHeight="1" x14ac:dyDescent="0.25">
      <c r="A48" s="3">
        <v>25</v>
      </c>
      <c r="B48" s="4" t="s">
        <v>343</v>
      </c>
      <c r="C48" s="6" t="s">
        <v>338</v>
      </c>
      <c r="D48" s="8">
        <v>6000000</v>
      </c>
      <c r="E48" s="2">
        <v>121</v>
      </c>
      <c r="F48" s="145">
        <v>3.6999999999999998E-2</v>
      </c>
      <c r="G48" s="9">
        <f t="shared" si="0"/>
        <v>36797</v>
      </c>
    </row>
    <row r="49" spans="1:9" s="11" customFormat="1" ht="22.15" customHeight="1" x14ac:dyDescent="0.25">
      <c r="A49" s="3">
        <v>26</v>
      </c>
      <c r="B49" s="4" t="s">
        <v>348</v>
      </c>
      <c r="C49" s="6" t="s">
        <v>349</v>
      </c>
      <c r="D49" s="8">
        <v>5000000</v>
      </c>
      <c r="E49" s="2">
        <v>184</v>
      </c>
      <c r="F49" s="145">
        <v>3.6999999999999998E-2</v>
      </c>
      <c r="G49" s="9">
        <f t="shared" si="0"/>
        <v>46630</v>
      </c>
    </row>
    <row r="50" spans="1:9" s="11" customFormat="1" x14ac:dyDescent="0.25">
      <c r="A50" s="3">
        <v>26</v>
      </c>
      <c r="B50" s="4" t="s">
        <v>348</v>
      </c>
      <c r="C50" s="6" t="s">
        <v>311</v>
      </c>
      <c r="D50" s="8">
        <v>5000000</v>
      </c>
      <c r="E50" s="2">
        <v>170</v>
      </c>
      <c r="F50" s="145">
        <v>3.6999999999999998E-2</v>
      </c>
      <c r="G50" s="9">
        <f t="shared" si="0"/>
        <v>43082</v>
      </c>
    </row>
    <row r="51" spans="1:9" s="11" customFormat="1" ht="22.15" customHeight="1" x14ac:dyDescent="0.25">
      <c r="A51" s="3">
        <v>27</v>
      </c>
      <c r="B51" s="4" t="s">
        <v>356</v>
      </c>
      <c r="C51" s="31" t="s">
        <v>357</v>
      </c>
      <c r="D51" s="8">
        <v>5000000</v>
      </c>
      <c r="E51" s="2">
        <v>170</v>
      </c>
      <c r="F51" s="145">
        <v>3.6999999999999998E-2</v>
      </c>
      <c r="G51" s="9">
        <f t="shared" si="0"/>
        <v>43082</v>
      </c>
    </row>
    <row r="52" spans="1:9" s="11" customFormat="1" ht="22.15" customHeight="1" x14ac:dyDescent="0.25">
      <c r="A52" s="3">
        <v>28</v>
      </c>
      <c r="B52" s="4" t="s">
        <v>362</v>
      </c>
      <c r="C52" s="6" t="s">
        <v>349</v>
      </c>
      <c r="D52" s="8">
        <v>5000000</v>
      </c>
      <c r="E52" s="2">
        <v>174</v>
      </c>
      <c r="F52" s="145">
        <v>3.6999999999999998E-2</v>
      </c>
      <c r="G52" s="9">
        <f t="shared" si="0"/>
        <v>44095</v>
      </c>
    </row>
    <row r="53" spans="1:9" s="11" customFormat="1" ht="22.15" customHeight="1" x14ac:dyDescent="0.25">
      <c r="A53" s="3">
        <v>28</v>
      </c>
      <c r="B53" s="4" t="s">
        <v>362</v>
      </c>
      <c r="C53" s="6" t="s">
        <v>368</v>
      </c>
      <c r="D53" s="8">
        <v>5000000</v>
      </c>
      <c r="E53" s="2">
        <v>283</v>
      </c>
      <c r="F53" s="145">
        <v>3.6999999999999998E-2</v>
      </c>
      <c r="G53" s="9">
        <f t="shared" si="0"/>
        <v>71719</v>
      </c>
    </row>
    <row r="54" spans="1:9" s="11" customFormat="1" ht="22.15" customHeight="1" x14ac:dyDescent="0.25">
      <c r="A54" s="3">
        <v>29</v>
      </c>
      <c r="B54" s="4" t="s">
        <v>371</v>
      </c>
      <c r="C54" s="6" t="s">
        <v>372</v>
      </c>
      <c r="D54" s="8">
        <v>9800000</v>
      </c>
      <c r="E54" s="2">
        <v>188</v>
      </c>
      <c r="F54" s="145">
        <v>3.6999999999999998E-2</v>
      </c>
      <c r="G54" s="9">
        <f t="shared" si="0"/>
        <v>93381</v>
      </c>
    </row>
    <row r="55" spans="1:9" s="11" customFormat="1" ht="22.15" customHeight="1" x14ac:dyDescent="0.25">
      <c r="A55" s="3">
        <v>40</v>
      </c>
      <c r="B55" s="4" t="s">
        <v>26</v>
      </c>
      <c r="C55" s="6" t="s">
        <v>27</v>
      </c>
      <c r="D55" s="8">
        <v>3000000</v>
      </c>
      <c r="E55" s="2">
        <v>179</v>
      </c>
      <c r="F55" s="145">
        <v>3.6999999999999998E-2</v>
      </c>
      <c r="G55" s="9">
        <f t="shared" si="0"/>
        <v>27217</v>
      </c>
    </row>
    <row r="56" spans="1:9" s="11" customFormat="1" ht="22.15" customHeight="1" x14ac:dyDescent="0.25">
      <c r="A56" s="3">
        <v>40</v>
      </c>
      <c r="B56" s="4" t="s">
        <v>26</v>
      </c>
      <c r="C56" s="6" t="s">
        <v>27</v>
      </c>
      <c r="D56" s="8">
        <v>3000000</v>
      </c>
      <c r="E56" s="2">
        <v>9</v>
      </c>
      <c r="F56" s="145">
        <v>3.6999999999999998E-2</v>
      </c>
      <c r="G56" s="9">
        <f t="shared" si="0"/>
        <v>1368</v>
      </c>
    </row>
    <row r="57" spans="1:9" s="11" customFormat="1" ht="21.75" customHeight="1" x14ac:dyDescent="0.25">
      <c r="A57" s="3">
        <v>40</v>
      </c>
      <c r="B57" s="4" t="s">
        <v>147</v>
      </c>
      <c r="C57" s="6" t="s">
        <v>30</v>
      </c>
      <c r="D57" s="8">
        <v>3000000</v>
      </c>
      <c r="E57" s="2">
        <v>132</v>
      </c>
      <c r="F57" s="145">
        <v>3.6999999999999998E-2</v>
      </c>
      <c r="G57" s="9">
        <f t="shared" si="0"/>
        <v>20071</v>
      </c>
    </row>
    <row r="58" spans="1:9" s="11" customFormat="1" ht="22.15" customHeight="1" x14ac:dyDescent="0.25">
      <c r="A58" s="3">
        <v>41</v>
      </c>
      <c r="B58" s="4" t="s">
        <v>148</v>
      </c>
      <c r="C58" s="6" t="s">
        <v>19</v>
      </c>
      <c r="D58" s="8">
        <v>5000000</v>
      </c>
      <c r="E58" s="2">
        <v>195</v>
      </c>
      <c r="F58" s="145">
        <v>3.6999999999999998E-2</v>
      </c>
      <c r="G58" s="9">
        <f t="shared" si="0"/>
        <v>49417</v>
      </c>
    </row>
    <row r="59" spans="1:9" s="11" customFormat="1" ht="22.15" customHeight="1" x14ac:dyDescent="0.25">
      <c r="A59" s="3">
        <v>42</v>
      </c>
      <c r="B59" s="4" t="s">
        <v>149</v>
      </c>
      <c r="C59" s="6" t="s">
        <v>33</v>
      </c>
      <c r="D59" s="8">
        <v>4000000</v>
      </c>
      <c r="E59" s="2">
        <v>109</v>
      </c>
      <c r="F59" s="145">
        <v>3.6999999999999998E-2</v>
      </c>
      <c r="G59" s="9">
        <f t="shared" si="0"/>
        <v>22098</v>
      </c>
      <c r="I59" s="156"/>
    </row>
    <row r="60" spans="1:9" s="11" customFormat="1" ht="22.15" customHeight="1" x14ac:dyDescent="0.25">
      <c r="A60" s="3">
        <v>43</v>
      </c>
      <c r="B60" s="4" t="s">
        <v>38</v>
      </c>
      <c r="C60" s="6" t="s">
        <v>19</v>
      </c>
      <c r="D60" s="8">
        <v>5000000</v>
      </c>
      <c r="E60" s="2">
        <v>200</v>
      </c>
      <c r="F60" s="145">
        <v>3.6999999999999998E-2</v>
      </c>
      <c r="G60" s="9">
        <f t="shared" si="0"/>
        <v>50684</v>
      </c>
    </row>
    <row r="61" spans="1:9" s="11" customFormat="1" ht="22.15" customHeight="1" x14ac:dyDescent="0.25">
      <c r="A61" s="3">
        <v>43</v>
      </c>
      <c r="B61" s="4" t="s">
        <v>38</v>
      </c>
      <c r="C61" s="6" t="s">
        <v>40</v>
      </c>
      <c r="D61" s="8">
        <v>5000000</v>
      </c>
      <c r="E61" s="2">
        <v>194</v>
      </c>
      <c r="F61" s="145">
        <v>3.6999999999999998E-2</v>
      </c>
      <c r="G61" s="9">
        <f t="shared" si="0"/>
        <v>49164</v>
      </c>
    </row>
    <row r="62" spans="1:9" s="11" customFormat="1" ht="22.15" customHeight="1" x14ac:dyDescent="0.25">
      <c r="A62" s="3">
        <v>44</v>
      </c>
      <c r="B62" s="4" t="s">
        <v>45</v>
      </c>
      <c r="C62" s="6" t="s">
        <v>33</v>
      </c>
      <c r="D62" s="8">
        <v>10000000</v>
      </c>
      <c r="E62" s="2">
        <v>101</v>
      </c>
      <c r="F62" s="145">
        <v>3.6999999999999998E-2</v>
      </c>
      <c r="G62" s="9">
        <f t="shared" si="0"/>
        <v>51191</v>
      </c>
    </row>
    <row r="63" spans="1:9" s="11" customFormat="1" ht="22.15" customHeight="1" x14ac:dyDescent="0.25">
      <c r="A63" s="3">
        <v>45</v>
      </c>
      <c r="B63" s="4" t="s">
        <v>50</v>
      </c>
      <c r="C63" s="6" t="s">
        <v>51</v>
      </c>
      <c r="D63" s="8">
        <v>6500000</v>
      </c>
      <c r="E63" s="2">
        <v>95</v>
      </c>
      <c r="F63" s="145">
        <v>3.6499999999999998E-2</v>
      </c>
      <c r="G63" s="9">
        <f t="shared" si="0"/>
        <v>30875</v>
      </c>
    </row>
    <row r="64" spans="1:9" s="11" customFormat="1" ht="22.15" customHeight="1" x14ac:dyDescent="0.25">
      <c r="A64" s="3">
        <v>46</v>
      </c>
      <c r="B64" s="4" t="s">
        <v>57</v>
      </c>
      <c r="C64" s="6" t="s">
        <v>51</v>
      </c>
      <c r="D64" s="8">
        <v>8000000</v>
      </c>
      <c r="E64" s="2">
        <v>187</v>
      </c>
      <c r="F64" s="145">
        <v>3.6799999999999999E-2</v>
      </c>
      <c r="G64" s="9">
        <f t="shared" si="0"/>
        <v>75414</v>
      </c>
    </row>
    <row r="65" spans="1:7" s="11" customFormat="1" ht="22.15" customHeight="1" x14ac:dyDescent="0.25">
      <c r="A65" s="3">
        <v>47</v>
      </c>
      <c r="B65" s="4" t="s">
        <v>64</v>
      </c>
      <c r="C65" s="6" t="s">
        <v>30</v>
      </c>
      <c r="D65" s="8">
        <v>5000000</v>
      </c>
      <c r="E65" s="2">
        <v>131</v>
      </c>
      <c r="F65" s="145">
        <v>3.6999999999999998E-2</v>
      </c>
      <c r="G65" s="9">
        <f t="shared" si="0"/>
        <v>33198</v>
      </c>
    </row>
    <row r="66" spans="1:7" s="11" customFormat="1" ht="22.15" customHeight="1" x14ac:dyDescent="0.25">
      <c r="A66" s="3">
        <v>47</v>
      </c>
      <c r="B66" s="4" t="s">
        <v>64</v>
      </c>
      <c r="C66" s="6" t="s">
        <v>75</v>
      </c>
      <c r="D66" s="8">
        <v>5000000</v>
      </c>
      <c r="E66" s="2">
        <v>117</v>
      </c>
      <c r="F66" s="145">
        <v>3.6999999999999998E-2</v>
      </c>
      <c r="G66" s="9">
        <f t="shared" si="0"/>
        <v>29650</v>
      </c>
    </row>
    <row r="67" spans="1:7" x14ac:dyDescent="0.25">
      <c r="A67" s="3">
        <v>47</v>
      </c>
      <c r="B67" s="4" t="s">
        <v>475</v>
      </c>
      <c r="C67" s="6" t="s">
        <v>460</v>
      </c>
      <c r="D67" s="8">
        <v>10000000</v>
      </c>
      <c r="E67" s="2">
        <v>72</v>
      </c>
      <c r="F67" s="145">
        <v>3.6999999999999998E-2</v>
      </c>
      <c r="G67" s="9">
        <f t="shared" ref="G67" si="1">INT(D67*F67*E67/365*50%)</f>
        <v>36493</v>
      </c>
    </row>
    <row r="71" spans="1:7" x14ac:dyDescent="0.25">
      <c r="G71" s="155"/>
    </row>
  </sheetData>
  <autoFilter ref="A2:G66"/>
  <mergeCells count="1">
    <mergeCell ref="A1:G1"/>
  </mergeCells>
  <phoneticPr fontId="16" type="noConversion"/>
  <pageMargins left="0.75" right="0.75" top="1" bottom="1" header="0.5" footer="0.5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9" zoomScale="80" zoomScaleNormal="80" workbookViewId="0">
      <selection activeCell="L75" sqref="L75"/>
    </sheetView>
  </sheetViews>
  <sheetFormatPr defaultRowHeight="14" x14ac:dyDescent="0.25"/>
  <cols>
    <col min="1" max="1" width="9.08984375" bestFit="1" customWidth="1"/>
    <col min="2" max="2" width="29.6328125" bestFit="1" customWidth="1"/>
    <col min="3" max="3" width="5.26953125" bestFit="1" customWidth="1"/>
    <col min="4" max="4" width="33.90625" bestFit="1" customWidth="1"/>
    <col min="5" max="5" width="17.08984375" bestFit="1" customWidth="1"/>
    <col min="6" max="6" width="9.6328125" bestFit="1" customWidth="1"/>
    <col min="7" max="7" width="11.08984375" bestFit="1" customWidth="1"/>
    <col min="8" max="8" width="9.453125" bestFit="1" customWidth="1"/>
    <col min="9" max="9" width="11.90625" bestFit="1" customWidth="1"/>
    <col min="11" max="11" width="11.90625" style="152" bestFit="1" customWidth="1"/>
    <col min="12" max="12" width="9.08984375" bestFit="1" customWidth="1"/>
    <col min="13" max="13" width="9.08984375" customWidth="1"/>
    <col min="14" max="14" width="12.08984375" customWidth="1"/>
  </cols>
  <sheetData>
    <row r="1" spans="1:16" s="23" customFormat="1" ht="39" x14ac:dyDescent="0.25">
      <c r="A1" s="30" t="s">
        <v>13</v>
      </c>
      <c r="B1" s="12" t="s">
        <v>0</v>
      </c>
      <c r="C1" s="13" t="s">
        <v>1</v>
      </c>
      <c r="D1" s="14" t="s">
        <v>2</v>
      </c>
      <c r="E1" s="15" t="s">
        <v>3</v>
      </c>
      <c r="F1" s="16" t="s">
        <v>4</v>
      </c>
      <c r="G1" s="17" t="s">
        <v>5</v>
      </c>
      <c r="H1" s="16" t="s">
        <v>6</v>
      </c>
      <c r="I1" s="18" t="s">
        <v>14</v>
      </c>
      <c r="J1" s="19" t="s">
        <v>15</v>
      </c>
      <c r="K1" s="149" t="s">
        <v>395</v>
      </c>
      <c r="L1" s="144" t="s">
        <v>396</v>
      </c>
      <c r="M1" s="20" t="s">
        <v>394</v>
      </c>
      <c r="N1" s="21" t="s">
        <v>17</v>
      </c>
    </row>
    <row r="2" spans="1:16" s="84" customFormat="1" ht="22.15" customHeight="1" x14ac:dyDescent="0.25">
      <c r="A2" s="3">
        <v>30</v>
      </c>
      <c r="B2" s="4" t="s">
        <v>378</v>
      </c>
      <c r="C2" s="5"/>
      <c r="D2" s="31" t="s">
        <v>258</v>
      </c>
      <c r="E2" s="7" t="s">
        <v>389</v>
      </c>
      <c r="F2" s="1">
        <v>44652</v>
      </c>
      <c r="G2" s="8">
        <v>3180000</v>
      </c>
      <c r="H2" s="1">
        <v>45098</v>
      </c>
      <c r="I2" s="8"/>
      <c r="J2" s="1"/>
      <c r="K2" s="150">
        <v>3180000</v>
      </c>
      <c r="L2" s="2">
        <v>184</v>
      </c>
      <c r="M2" s="145">
        <v>3.6999999999999998E-2</v>
      </c>
      <c r="N2" s="9">
        <f>K2*M2*0.5/365*L2</f>
        <v>29656.767123287671</v>
      </c>
      <c r="P2" s="76"/>
    </row>
    <row r="3" spans="1:16" s="84" customFormat="1" ht="22.15" customHeight="1" x14ac:dyDescent="0.25">
      <c r="A3" s="3">
        <v>30</v>
      </c>
      <c r="B3" s="4" t="s">
        <v>378</v>
      </c>
      <c r="C3" s="5"/>
      <c r="D3" s="31" t="s">
        <v>258</v>
      </c>
      <c r="E3" s="7" t="s">
        <v>389</v>
      </c>
      <c r="F3" s="1">
        <v>44652</v>
      </c>
      <c r="G3" s="8">
        <v>3120000</v>
      </c>
      <c r="H3" s="1">
        <v>45281</v>
      </c>
      <c r="I3" s="8"/>
      <c r="J3" s="1"/>
      <c r="K3" s="150">
        <v>3120000</v>
      </c>
      <c r="L3" s="2">
        <v>184</v>
      </c>
      <c r="M3" s="145">
        <v>3.6999999999999998E-2</v>
      </c>
      <c r="N3" s="9">
        <f t="shared" ref="N3:N65" si="0">K3*M3*0.5/365*L3</f>
        <v>29097.205479452055</v>
      </c>
      <c r="P3" s="76"/>
    </row>
    <row r="4" spans="1:16" s="84" customFormat="1" ht="22.15" customHeight="1" x14ac:dyDescent="0.25">
      <c r="A4" s="3">
        <v>30</v>
      </c>
      <c r="B4" s="4" t="s">
        <v>378</v>
      </c>
      <c r="C4" s="5"/>
      <c r="D4" s="31" t="s">
        <v>258</v>
      </c>
      <c r="E4" s="7" t="s">
        <v>389</v>
      </c>
      <c r="F4" s="1">
        <v>44652</v>
      </c>
      <c r="G4" s="8">
        <v>3120000</v>
      </c>
      <c r="H4" s="1">
        <v>45444</v>
      </c>
      <c r="I4" s="8"/>
      <c r="J4" s="1"/>
      <c r="K4" s="150">
        <v>3120000</v>
      </c>
      <c r="L4" s="2">
        <v>184</v>
      </c>
      <c r="M4" s="145">
        <v>3.6999999999999998E-2</v>
      </c>
      <c r="N4" s="9">
        <f t="shared" si="0"/>
        <v>29097.205479452055</v>
      </c>
      <c r="P4" s="76"/>
    </row>
    <row r="5" spans="1:16" s="84" customFormat="1" ht="22.15" customHeight="1" x14ac:dyDescent="0.25">
      <c r="A5" s="3">
        <v>30</v>
      </c>
      <c r="B5" s="4" t="s">
        <v>378</v>
      </c>
      <c r="C5" s="5"/>
      <c r="D5" s="31" t="s">
        <v>258</v>
      </c>
      <c r="E5" s="7" t="s">
        <v>389</v>
      </c>
      <c r="F5" s="1">
        <v>44652</v>
      </c>
      <c r="G5" s="8">
        <v>3120000</v>
      </c>
      <c r="H5" s="1">
        <v>45647</v>
      </c>
      <c r="I5" s="8"/>
      <c r="J5" s="1"/>
      <c r="K5" s="150">
        <v>3120000</v>
      </c>
      <c r="L5" s="2">
        <v>184</v>
      </c>
      <c r="M5" s="145">
        <v>3.6999999999999998E-2</v>
      </c>
      <c r="N5" s="9">
        <f t="shared" si="0"/>
        <v>29097.205479452055</v>
      </c>
      <c r="P5" s="76"/>
    </row>
    <row r="6" spans="1:16" s="84" customFormat="1" x14ac:dyDescent="0.25">
      <c r="A6" s="3">
        <v>30</v>
      </c>
      <c r="B6" s="4" t="s">
        <v>378</v>
      </c>
      <c r="C6" s="5"/>
      <c r="D6" s="31" t="s">
        <v>258</v>
      </c>
      <c r="E6" s="7" t="s">
        <v>389</v>
      </c>
      <c r="F6" s="1">
        <v>44652</v>
      </c>
      <c r="G6" s="8">
        <v>3580000</v>
      </c>
      <c r="H6" s="1">
        <v>45829</v>
      </c>
      <c r="I6" s="8"/>
      <c r="J6" s="1"/>
      <c r="K6" s="150">
        <v>3580000</v>
      </c>
      <c r="L6" s="2">
        <v>184</v>
      </c>
      <c r="M6" s="145">
        <v>3.6999999999999998E-2</v>
      </c>
      <c r="N6" s="9">
        <f t="shared" si="0"/>
        <v>33387.178082191778</v>
      </c>
      <c r="P6" s="76"/>
    </row>
    <row r="7" spans="1:16" s="84" customFormat="1" ht="22.15" customHeight="1" x14ac:dyDescent="0.25">
      <c r="A7" s="3">
        <v>30</v>
      </c>
      <c r="B7" s="4" t="s">
        <v>378</v>
      </c>
      <c r="C7" s="5"/>
      <c r="D7" s="31" t="s">
        <v>258</v>
      </c>
      <c r="E7" s="7" t="s">
        <v>389</v>
      </c>
      <c r="F7" s="1">
        <v>44652</v>
      </c>
      <c r="G7" s="8">
        <v>3580000</v>
      </c>
      <c r="H7" s="1">
        <v>46012</v>
      </c>
      <c r="I7" s="8"/>
      <c r="J7" s="1"/>
      <c r="K7" s="150">
        <v>3580000</v>
      </c>
      <c r="L7" s="2">
        <v>184</v>
      </c>
      <c r="M7" s="145">
        <v>3.6999999999999998E-2</v>
      </c>
      <c r="N7" s="9">
        <f t="shared" si="0"/>
        <v>33387.178082191778</v>
      </c>
      <c r="P7" s="76"/>
    </row>
    <row r="8" spans="1:16" s="84" customFormat="1" ht="22.15" customHeight="1" x14ac:dyDescent="0.25">
      <c r="A8" s="3">
        <v>30</v>
      </c>
      <c r="B8" s="4" t="s">
        <v>378</v>
      </c>
      <c r="C8" s="5"/>
      <c r="D8" s="31" t="s">
        <v>258</v>
      </c>
      <c r="E8" s="7" t="s">
        <v>389</v>
      </c>
      <c r="F8" s="1">
        <v>44782</v>
      </c>
      <c r="G8" s="8">
        <v>7000000</v>
      </c>
      <c r="H8" s="1">
        <v>45098</v>
      </c>
      <c r="I8" s="8"/>
      <c r="J8" s="1"/>
      <c r="K8" s="150">
        <f>20000000-SUM(K2:K7)</f>
        <v>300000</v>
      </c>
      <c r="L8" s="2">
        <v>145</v>
      </c>
      <c r="M8" s="145">
        <v>3.6999999999999998E-2</v>
      </c>
      <c r="N8" s="9">
        <f t="shared" si="0"/>
        <v>2204.794520547945</v>
      </c>
      <c r="P8" s="76"/>
    </row>
    <row r="9" spans="1:16" s="153" customFormat="1" ht="22.15" customHeight="1" x14ac:dyDescent="0.25">
      <c r="A9" s="48">
        <v>30</v>
      </c>
      <c r="B9" s="49" t="s">
        <v>378</v>
      </c>
      <c r="C9" s="50"/>
      <c r="D9" s="67" t="s">
        <v>258</v>
      </c>
      <c r="E9" s="52" t="s">
        <v>389</v>
      </c>
      <c r="F9" s="53">
        <v>44782</v>
      </c>
      <c r="G9" s="54">
        <v>7000000</v>
      </c>
      <c r="H9" s="53">
        <v>45281</v>
      </c>
      <c r="I9" s="54"/>
      <c r="J9" s="53"/>
      <c r="K9" s="151"/>
      <c r="L9" s="55">
        <v>145</v>
      </c>
      <c r="M9" s="146">
        <v>3.6999999999999998E-2</v>
      </c>
      <c r="N9" s="56">
        <f t="shared" si="0"/>
        <v>0</v>
      </c>
      <c r="P9" s="154"/>
    </row>
    <row r="10" spans="1:16" s="153" customFormat="1" ht="22.15" customHeight="1" x14ac:dyDescent="0.25">
      <c r="A10" s="48">
        <v>30</v>
      </c>
      <c r="B10" s="49" t="s">
        <v>378</v>
      </c>
      <c r="C10" s="50"/>
      <c r="D10" s="67" t="s">
        <v>258</v>
      </c>
      <c r="E10" s="52" t="s">
        <v>389</v>
      </c>
      <c r="F10" s="53">
        <v>44782</v>
      </c>
      <c r="G10" s="54">
        <v>7000000</v>
      </c>
      <c r="H10" s="53">
        <v>45464</v>
      </c>
      <c r="I10" s="54"/>
      <c r="J10" s="53"/>
      <c r="K10" s="151"/>
      <c r="L10" s="55">
        <v>145</v>
      </c>
      <c r="M10" s="146">
        <v>3.6999999999999998E-2</v>
      </c>
      <c r="N10" s="56">
        <f t="shared" si="0"/>
        <v>0</v>
      </c>
      <c r="P10" s="154"/>
    </row>
    <row r="11" spans="1:16" s="153" customFormat="1" ht="22.15" customHeight="1" x14ac:dyDescent="0.25">
      <c r="A11" s="48">
        <v>30</v>
      </c>
      <c r="B11" s="49" t="s">
        <v>378</v>
      </c>
      <c r="C11" s="50"/>
      <c r="D11" s="67" t="s">
        <v>258</v>
      </c>
      <c r="E11" s="52" t="s">
        <v>389</v>
      </c>
      <c r="F11" s="53">
        <v>44782</v>
      </c>
      <c r="G11" s="54">
        <v>7000000</v>
      </c>
      <c r="H11" s="53">
        <v>45647</v>
      </c>
      <c r="I11" s="54"/>
      <c r="J11" s="53"/>
      <c r="K11" s="151"/>
      <c r="L11" s="55">
        <v>145</v>
      </c>
      <c r="M11" s="146">
        <v>3.6999999999999998E-2</v>
      </c>
      <c r="N11" s="56">
        <f t="shared" si="0"/>
        <v>0</v>
      </c>
      <c r="P11" s="154"/>
    </row>
    <row r="12" spans="1:16" s="153" customFormat="1" ht="22.15" customHeight="1" x14ac:dyDescent="0.25">
      <c r="A12" s="48">
        <v>30</v>
      </c>
      <c r="B12" s="49" t="s">
        <v>378</v>
      </c>
      <c r="C12" s="50"/>
      <c r="D12" s="67" t="s">
        <v>258</v>
      </c>
      <c r="E12" s="52" t="s">
        <v>389</v>
      </c>
      <c r="F12" s="53">
        <v>44782</v>
      </c>
      <c r="G12" s="54">
        <v>8000000</v>
      </c>
      <c r="H12" s="53">
        <v>45829</v>
      </c>
      <c r="I12" s="54"/>
      <c r="J12" s="53"/>
      <c r="K12" s="151"/>
      <c r="L12" s="55">
        <v>145</v>
      </c>
      <c r="M12" s="146">
        <v>3.6999999999999998E-2</v>
      </c>
      <c r="N12" s="56">
        <f t="shared" si="0"/>
        <v>0</v>
      </c>
      <c r="P12" s="154"/>
    </row>
    <row r="13" spans="1:16" s="153" customFormat="1" ht="22.15" customHeight="1" x14ac:dyDescent="0.25">
      <c r="A13" s="48">
        <v>30</v>
      </c>
      <c r="B13" s="49" t="s">
        <v>378</v>
      </c>
      <c r="C13" s="50"/>
      <c r="D13" s="67" t="s">
        <v>258</v>
      </c>
      <c r="E13" s="52" t="s">
        <v>389</v>
      </c>
      <c r="F13" s="53">
        <v>44782</v>
      </c>
      <c r="G13" s="54">
        <v>8000000</v>
      </c>
      <c r="H13" s="53">
        <v>46012</v>
      </c>
      <c r="I13" s="54"/>
      <c r="J13" s="53"/>
      <c r="K13" s="151"/>
      <c r="L13" s="55">
        <v>145</v>
      </c>
      <c r="M13" s="146">
        <v>3.6999999999999998E-2</v>
      </c>
      <c r="N13" s="56">
        <f t="shared" si="0"/>
        <v>0</v>
      </c>
      <c r="P13" s="154"/>
    </row>
    <row r="14" spans="1:16" s="75" customFormat="1" ht="22.15" customHeight="1" x14ac:dyDescent="0.25">
      <c r="A14" s="3">
        <v>31</v>
      </c>
      <c r="B14" s="4" t="s">
        <v>383</v>
      </c>
      <c r="C14" s="5"/>
      <c r="D14" s="6" t="s">
        <v>384</v>
      </c>
      <c r="E14" s="7" t="s">
        <v>385</v>
      </c>
      <c r="F14" s="1">
        <v>44852</v>
      </c>
      <c r="G14" s="8">
        <v>9834732.4600000009</v>
      </c>
      <c r="H14" s="1">
        <v>47218</v>
      </c>
      <c r="I14" s="8"/>
      <c r="J14" s="1"/>
      <c r="K14" s="8">
        <v>9834732.4600000009</v>
      </c>
      <c r="L14" s="2">
        <v>75</v>
      </c>
      <c r="M14" s="145">
        <v>3.6999999999999998E-2</v>
      </c>
      <c r="N14" s="9">
        <f t="shared" si="0"/>
        <v>37385.455584246578</v>
      </c>
      <c r="P14" s="38"/>
    </row>
    <row r="15" spans="1:16" s="75" customFormat="1" ht="22.15" customHeight="1" x14ac:dyDescent="0.25">
      <c r="A15" s="3">
        <v>31</v>
      </c>
      <c r="B15" s="4" t="s">
        <v>383</v>
      </c>
      <c r="C15" s="5"/>
      <c r="D15" s="6" t="s">
        <v>384</v>
      </c>
      <c r="E15" s="7" t="s">
        <v>385</v>
      </c>
      <c r="F15" s="1">
        <v>44895</v>
      </c>
      <c r="G15" s="8">
        <v>8490800</v>
      </c>
      <c r="H15" s="1">
        <v>47218</v>
      </c>
      <c r="I15" s="8"/>
      <c r="J15" s="1"/>
      <c r="K15" s="8">
        <v>8490800</v>
      </c>
      <c r="L15" s="2">
        <v>32</v>
      </c>
      <c r="M15" s="145">
        <v>3.6999999999999998E-2</v>
      </c>
      <c r="N15" s="9">
        <f t="shared" si="0"/>
        <v>13771.379726027397</v>
      </c>
      <c r="P15" s="38"/>
    </row>
    <row r="16" spans="1:16" s="11" customFormat="1" ht="22.15" customHeight="1" x14ac:dyDescent="0.25">
      <c r="A16" s="62">
        <v>32</v>
      </c>
      <c r="B16" s="4" t="s">
        <v>77</v>
      </c>
      <c r="C16" s="5"/>
      <c r="D16" s="6" t="s">
        <v>78</v>
      </c>
      <c r="E16" s="7" t="s">
        <v>79</v>
      </c>
      <c r="F16" s="1">
        <v>44677</v>
      </c>
      <c r="G16" s="8">
        <v>4900000</v>
      </c>
      <c r="H16" s="1">
        <v>46121</v>
      </c>
      <c r="I16" s="8"/>
      <c r="J16" s="1"/>
      <c r="K16" s="150">
        <v>4900000</v>
      </c>
      <c r="L16" s="2">
        <v>184</v>
      </c>
      <c r="M16" s="145">
        <v>3.6999999999999998E-2</v>
      </c>
      <c r="N16" s="9">
        <f t="shared" si="0"/>
        <v>45697.534246575342</v>
      </c>
    </row>
    <row r="17" spans="1:17" s="11" customFormat="1" ht="22.15" customHeight="1" x14ac:dyDescent="0.25">
      <c r="A17" s="62">
        <v>32</v>
      </c>
      <c r="B17" s="4" t="s">
        <v>77</v>
      </c>
      <c r="C17" s="5"/>
      <c r="D17" s="6" t="s">
        <v>78</v>
      </c>
      <c r="E17" s="7" t="s">
        <v>79</v>
      </c>
      <c r="F17" s="1">
        <v>44691</v>
      </c>
      <c r="G17" s="8">
        <v>4250000</v>
      </c>
      <c r="H17" s="1">
        <v>46121</v>
      </c>
      <c r="I17" s="8"/>
      <c r="J17" s="1"/>
      <c r="K17" s="150">
        <v>4250000</v>
      </c>
      <c r="L17" s="2">
        <v>184</v>
      </c>
      <c r="M17" s="145">
        <v>3.6999999999999998E-2</v>
      </c>
      <c r="N17" s="9">
        <f t="shared" si="0"/>
        <v>39635.616438356163</v>
      </c>
    </row>
    <row r="18" spans="1:17" s="11" customFormat="1" x14ac:dyDescent="0.25">
      <c r="A18" s="62">
        <v>32</v>
      </c>
      <c r="B18" s="4" t="s">
        <v>77</v>
      </c>
      <c r="C18" s="5"/>
      <c r="D18" s="6" t="s">
        <v>78</v>
      </c>
      <c r="E18" s="7" t="s">
        <v>79</v>
      </c>
      <c r="F18" s="1">
        <v>44694</v>
      </c>
      <c r="G18" s="8">
        <v>2480000</v>
      </c>
      <c r="H18" s="1">
        <v>46121</v>
      </c>
      <c r="I18" s="8"/>
      <c r="J18" s="1"/>
      <c r="K18" s="150">
        <v>2480000</v>
      </c>
      <c r="L18" s="2">
        <v>184</v>
      </c>
      <c r="M18" s="145">
        <v>3.6999999999999998E-2</v>
      </c>
      <c r="N18" s="9">
        <f t="shared" si="0"/>
        <v>23128.547945205479</v>
      </c>
    </row>
    <row r="19" spans="1:17" s="11" customFormat="1" ht="22.15" customHeight="1" x14ac:dyDescent="0.25">
      <c r="A19" s="62">
        <v>32</v>
      </c>
      <c r="B19" s="4" t="s">
        <v>77</v>
      </c>
      <c r="C19" s="5"/>
      <c r="D19" s="6" t="s">
        <v>78</v>
      </c>
      <c r="E19" s="7" t="s">
        <v>79</v>
      </c>
      <c r="F19" s="1">
        <v>44713</v>
      </c>
      <c r="G19" s="8">
        <v>8489266</v>
      </c>
      <c r="H19" s="1">
        <v>46121</v>
      </c>
      <c r="I19" s="8"/>
      <c r="J19" s="1"/>
      <c r="K19" s="150">
        <f>20000000-SUM(K16:K18)</f>
        <v>8370000</v>
      </c>
      <c r="L19" s="2">
        <v>184</v>
      </c>
      <c r="M19" s="145">
        <v>3.6999999999999998E-2</v>
      </c>
      <c r="N19" s="9">
        <f t="shared" si="0"/>
        <v>78058.849315068495</v>
      </c>
    </row>
    <row r="20" spans="1:17" s="59" customFormat="1" ht="22.15" customHeight="1" x14ac:dyDescent="0.25">
      <c r="A20" s="63">
        <v>32</v>
      </c>
      <c r="B20" s="49" t="s">
        <v>77</v>
      </c>
      <c r="C20" s="50"/>
      <c r="D20" s="51" t="s">
        <v>78</v>
      </c>
      <c r="E20" s="52" t="s">
        <v>79</v>
      </c>
      <c r="F20" s="53">
        <v>44733</v>
      </c>
      <c r="G20" s="54">
        <v>4156000</v>
      </c>
      <c r="H20" s="53">
        <v>46121</v>
      </c>
      <c r="I20" s="54"/>
      <c r="J20" s="53"/>
      <c r="K20" s="151"/>
      <c r="L20" s="55">
        <v>184</v>
      </c>
      <c r="M20" s="146">
        <v>3.6999999999999998E-2</v>
      </c>
      <c r="N20" s="56">
        <f t="shared" si="0"/>
        <v>0</v>
      </c>
    </row>
    <row r="21" spans="1:17" s="59" customFormat="1" ht="22.15" customHeight="1" x14ac:dyDescent="0.25">
      <c r="A21" s="63">
        <v>32</v>
      </c>
      <c r="B21" s="49" t="s">
        <v>77</v>
      </c>
      <c r="C21" s="50"/>
      <c r="D21" s="51" t="s">
        <v>78</v>
      </c>
      <c r="E21" s="52" t="s">
        <v>79</v>
      </c>
      <c r="F21" s="53">
        <v>44761</v>
      </c>
      <c r="G21" s="54">
        <v>2293864</v>
      </c>
      <c r="H21" s="53">
        <v>46121</v>
      </c>
      <c r="I21" s="54"/>
      <c r="J21" s="53"/>
      <c r="K21" s="151"/>
      <c r="L21" s="55">
        <v>184</v>
      </c>
      <c r="M21" s="146">
        <v>3.6999999999999998E-2</v>
      </c>
      <c r="N21" s="56">
        <f t="shared" si="0"/>
        <v>0</v>
      </c>
    </row>
    <row r="22" spans="1:17" s="59" customFormat="1" ht="22.15" customHeight="1" x14ac:dyDescent="0.25">
      <c r="A22" s="63">
        <v>32</v>
      </c>
      <c r="B22" s="49" t="s">
        <v>77</v>
      </c>
      <c r="C22" s="50"/>
      <c r="D22" s="51" t="s">
        <v>78</v>
      </c>
      <c r="E22" s="52" t="s">
        <v>79</v>
      </c>
      <c r="F22" s="53">
        <v>44767</v>
      </c>
      <c r="G22" s="54">
        <v>4900000</v>
      </c>
      <c r="H22" s="53">
        <v>46121</v>
      </c>
      <c r="I22" s="54"/>
      <c r="J22" s="53"/>
      <c r="K22" s="151"/>
      <c r="L22" s="55"/>
      <c r="M22" s="146">
        <v>3.6999999999999998E-2</v>
      </c>
      <c r="N22" s="56">
        <f t="shared" si="0"/>
        <v>0</v>
      </c>
    </row>
    <row r="23" spans="1:17" s="59" customFormat="1" ht="22.15" customHeight="1" x14ac:dyDescent="0.25">
      <c r="A23" s="63">
        <v>32</v>
      </c>
      <c r="B23" s="49" t="s">
        <v>77</v>
      </c>
      <c r="C23" s="50"/>
      <c r="D23" s="51" t="s">
        <v>78</v>
      </c>
      <c r="E23" s="52" t="s">
        <v>79</v>
      </c>
      <c r="F23" s="53">
        <v>44791</v>
      </c>
      <c r="G23" s="54">
        <v>1530000</v>
      </c>
      <c r="H23" s="53">
        <v>46121</v>
      </c>
      <c r="I23" s="54"/>
      <c r="J23" s="53"/>
      <c r="K23" s="151"/>
      <c r="L23" s="55"/>
      <c r="M23" s="146">
        <v>3.6999999999999998E-2</v>
      </c>
      <c r="N23" s="56">
        <f t="shared" si="0"/>
        <v>0</v>
      </c>
    </row>
    <row r="24" spans="1:17" s="59" customFormat="1" ht="22.15" customHeight="1" x14ac:dyDescent="0.25">
      <c r="A24" s="48">
        <v>32</v>
      </c>
      <c r="B24" s="49" t="s">
        <v>77</v>
      </c>
      <c r="C24" s="50"/>
      <c r="D24" s="51" t="s">
        <v>78</v>
      </c>
      <c r="E24" s="52" t="s">
        <v>86</v>
      </c>
      <c r="F24" s="53">
        <v>44865</v>
      </c>
      <c r="G24" s="54">
        <v>8626935</v>
      </c>
      <c r="H24" s="53">
        <v>46121</v>
      </c>
      <c r="I24" s="54"/>
      <c r="J24" s="53"/>
      <c r="K24" s="151"/>
      <c r="L24" s="55"/>
      <c r="M24" s="146">
        <v>3.6999999999999998E-2</v>
      </c>
      <c r="N24" s="56">
        <f t="shared" si="0"/>
        <v>0</v>
      </c>
    </row>
    <row r="25" spans="1:17" s="69" customFormat="1" ht="22.15" customHeight="1" x14ac:dyDescent="0.25">
      <c r="A25" s="48">
        <v>32</v>
      </c>
      <c r="B25" s="49" t="s">
        <v>77</v>
      </c>
      <c r="C25" s="50"/>
      <c r="D25" s="51" t="s">
        <v>78</v>
      </c>
      <c r="E25" s="52" t="s">
        <v>86</v>
      </c>
      <c r="F25" s="53">
        <v>44897</v>
      </c>
      <c r="G25" s="54">
        <v>2018858</v>
      </c>
      <c r="H25" s="53">
        <v>46121</v>
      </c>
      <c r="I25" s="54"/>
      <c r="J25" s="53"/>
      <c r="K25" s="151"/>
      <c r="L25" s="55"/>
      <c r="M25" s="146">
        <v>3.6999999999999998E-2</v>
      </c>
      <c r="N25" s="56">
        <f t="shared" si="0"/>
        <v>0</v>
      </c>
    </row>
    <row r="26" spans="1:17" s="11" customFormat="1" ht="22.15" customHeight="1" x14ac:dyDescent="0.25">
      <c r="A26" s="62">
        <v>33</v>
      </c>
      <c r="B26" s="4" t="s">
        <v>64</v>
      </c>
      <c r="C26" s="5"/>
      <c r="D26" s="6" t="s">
        <v>87</v>
      </c>
      <c r="E26" s="7" t="s">
        <v>88</v>
      </c>
      <c r="F26" s="1">
        <v>44603</v>
      </c>
      <c r="G26" s="8">
        <v>4000000</v>
      </c>
      <c r="H26" s="1">
        <v>46706</v>
      </c>
      <c r="I26" s="8"/>
      <c r="J26" s="1"/>
      <c r="K26" s="8">
        <v>4000000</v>
      </c>
      <c r="L26" s="2">
        <v>184</v>
      </c>
      <c r="M26" s="145">
        <v>3.6999999999999998E-2</v>
      </c>
      <c r="N26" s="9">
        <f t="shared" si="0"/>
        <v>37304.109589041094</v>
      </c>
      <c r="O26" s="38"/>
      <c r="Q26" s="38"/>
    </row>
    <row r="27" spans="1:17" s="11" customFormat="1" x14ac:dyDescent="0.25">
      <c r="A27" s="3">
        <v>33</v>
      </c>
      <c r="B27" s="4" t="s">
        <v>64</v>
      </c>
      <c r="C27" s="5"/>
      <c r="D27" s="6" t="s">
        <v>87</v>
      </c>
      <c r="E27" s="7" t="s">
        <v>91</v>
      </c>
      <c r="F27" s="1">
        <v>44713</v>
      </c>
      <c r="G27" s="8">
        <v>3000000</v>
      </c>
      <c r="H27" s="1">
        <v>46172</v>
      </c>
      <c r="I27" s="8"/>
      <c r="J27" s="1"/>
      <c r="K27" s="8">
        <v>3000000</v>
      </c>
      <c r="L27" s="2">
        <v>184</v>
      </c>
      <c r="M27" s="145">
        <v>3.6999999999999998E-2</v>
      </c>
      <c r="N27" s="9">
        <f t="shared" si="0"/>
        <v>27978.082191780821</v>
      </c>
      <c r="O27" s="38"/>
      <c r="Q27" s="38"/>
    </row>
    <row r="28" spans="1:17" s="11" customFormat="1" ht="22.15" customHeight="1" x14ac:dyDescent="0.25">
      <c r="A28" s="62">
        <v>34</v>
      </c>
      <c r="B28" s="4" t="s">
        <v>92</v>
      </c>
      <c r="C28" s="5"/>
      <c r="D28" s="6" t="s">
        <v>93</v>
      </c>
      <c r="E28" s="7" t="s">
        <v>94</v>
      </c>
      <c r="F28" s="1">
        <v>44565</v>
      </c>
      <c r="G28" s="8">
        <v>22000000</v>
      </c>
      <c r="H28" s="1">
        <v>45191</v>
      </c>
      <c r="I28" s="1"/>
      <c r="J28" s="1"/>
      <c r="K28" s="150">
        <v>20000000</v>
      </c>
      <c r="L28" s="2">
        <v>184</v>
      </c>
      <c r="M28" s="145">
        <v>3.6999999999999998E-2</v>
      </c>
      <c r="N28" s="9">
        <f t="shared" si="0"/>
        <v>186520.54794520547</v>
      </c>
      <c r="O28" s="38"/>
      <c r="Q28" s="38"/>
    </row>
    <row r="29" spans="1:17" s="59" customFormat="1" ht="22.15" customHeight="1" x14ac:dyDescent="0.25">
      <c r="A29" s="63">
        <v>34</v>
      </c>
      <c r="B29" s="49" t="s">
        <v>92</v>
      </c>
      <c r="C29" s="50"/>
      <c r="D29" s="51" t="s">
        <v>93</v>
      </c>
      <c r="E29" s="52" t="s">
        <v>99</v>
      </c>
      <c r="F29" s="53">
        <v>44678</v>
      </c>
      <c r="G29" s="54">
        <v>20000000</v>
      </c>
      <c r="H29" s="53">
        <v>45191</v>
      </c>
      <c r="I29" s="53"/>
      <c r="J29" s="53"/>
      <c r="K29" s="151"/>
      <c r="L29" s="55"/>
      <c r="M29" s="146">
        <v>3.6999999999999998E-2</v>
      </c>
      <c r="N29" s="56">
        <f t="shared" si="0"/>
        <v>0</v>
      </c>
      <c r="O29" s="60"/>
      <c r="Q29" s="60"/>
    </row>
    <row r="30" spans="1:17" s="11" customFormat="1" ht="22.15" customHeight="1" x14ac:dyDescent="0.25">
      <c r="A30" s="62">
        <v>35</v>
      </c>
      <c r="B30" s="4" t="s">
        <v>101</v>
      </c>
      <c r="C30" s="5"/>
      <c r="D30" s="6" t="s">
        <v>102</v>
      </c>
      <c r="E30" s="7" t="s">
        <v>103</v>
      </c>
      <c r="F30" s="1">
        <v>44812</v>
      </c>
      <c r="G30" s="8">
        <v>6000000</v>
      </c>
      <c r="H30" s="1">
        <v>45905</v>
      </c>
      <c r="I30" s="8"/>
      <c r="J30" s="1"/>
      <c r="K30" s="150">
        <v>6000000</v>
      </c>
      <c r="L30" s="2">
        <v>115</v>
      </c>
      <c r="M30" s="145">
        <v>3.6999999999999998E-2</v>
      </c>
      <c r="N30" s="9">
        <f t="shared" si="0"/>
        <v>34972.602739726026</v>
      </c>
      <c r="O30" s="38"/>
      <c r="Q30" s="38"/>
    </row>
    <row r="31" spans="1:17" s="11" customFormat="1" ht="22.15" customHeight="1" x14ac:dyDescent="0.25">
      <c r="A31" s="62">
        <v>35</v>
      </c>
      <c r="B31" s="4" t="s">
        <v>101</v>
      </c>
      <c r="C31" s="5"/>
      <c r="D31" s="6" t="s">
        <v>102</v>
      </c>
      <c r="E31" s="7" t="s">
        <v>103</v>
      </c>
      <c r="F31" s="1">
        <v>44896</v>
      </c>
      <c r="G31" s="8">
        <v>3800000</v>
      </c>
      <c r="H31" s="1">
        <v>45905</v>
      </c>
      <c r="I31" s="8"/>
      <c r="J31" s="1"/>
      <c r="K31" s="150">
        <v>3800000</v>
      </c>
      <c r="L31" s="2">
        <v>31</v>
      </c>
      <c r="M31" s="145">
        <v>3.6999999999999998E-2</v>
      </c>
      <c r="N31" s="9">
        <f t="shared" si="0"/>
        <v>5970.6849315068494</v>
      </c>
      <c r="O31" s="38"/>
      <c r="Q31" s="38"/>
    </row>
    <row r="32" spans="1:17" s="11" customFormat="1" ht="22.15" customHeight="1" x14ac:dyDescent="0.25">
      <c r="A32" s="62">
        <v>36</v>
      </c>
      <c r="B32" s="4" t="s">
        <v>109</v>
      </c>
      <c r="C32" s="5"/>
      <c r="D32" s="6" t="s">
        <v>110</v>
      </c>
      <c r="E32" s="7" t="s">
        <v>111</v>
      </c>
      <c r="F32" s="1">
        <v>44642</v>
      </c>
      <c r="G32" s="8">
        <v>519000</v>
      </c>
      <c r="H32" s="1">
        <v>45092</v>
      </c>
      <c r="I32" s="8"/>
      <c r="J32" s="1"/>
      <c r="K32" s="150">
        <v>519000</v>
      </c>
      <c r="L32" s="2">
        <v>285</v>
      </c>
      <c r="M32" s="145">
        <v>3.6999999999999998E-2</v>
      </c>
      <c r="N32" s="9">
        <f t="shared" si="0"/>
        <v>7497.0616438356165</v>
      </c>
      <c r="O32" s="38"/>
      <c r="Q32" s="38"/>
    </row>
    <row r="33" spans="1:17" s="11" customFormat="1" ht="22.15" customHeight="1" x14ac:dyDescent="0.25">
      <c r="A33" s="62">
        <v>36</v>
      </c>
      <c r="B33" s="4" t="s">
        <v>109</v>
      </c>
      <c r="C33" s="5"/>
      <c r="D33" s="6" t="s">
        <v>110</v>
      </c>
      <c r="E33" s="7" t="s">
        <v>111</v>
      </c>
      <c r="F33" s="1">
        <v>44644</v>
      </c>
      <c r="G33" s="8">
        <v>900000</v>
      </c>
      <c r="H33" s="1">
        <v>45092</v>
      </c>
      <c r="I33" s="8"/>
      <c r="J33" s="1"/>
      <c r="K33" s="150">
        <v>900000</v>
      </c>
      <c r="L33" s="2">
        <v>283</v>
      </c>
      <c r="M33" s="145">
        <v>3.6999999999999998E-2</v>
      </c>
      <c r="N33" s="9">
        <f t="shared" si="0"/>
        <v>12909.452054794519</v>
      </c>
      <c r="O33" s="38"/>
      <c r="Q33" s="38"/>
    </row>
    <row r="34" spans="1:17" s="11" customFormat="1" ht="22.15" customHeight="1" x14ac:dyDescent="0.25">
      <c r="A34" s="62">
        <v>36</v>
      </c>
      <c r="B34" s="4" t="s">
        <v>109</v>
      </c>
      <c r="C34" s="5"/>
      <c r="D34" s="6" t="s">
        <v>110</v>
      </c>
      <c r="E34" s="7" t="s">
        <v>111</v>
      </c>
      <c r="F34" s="1">
        <v>44658</v>
      </c>
      <c r="G34" s="8">
        <v>81000</v>
      </c>
      <c r="H34" s="1">
        <v>45092</v>
      </c>
      <c r="I34" s="8"/>
      <c r="J34" s="1"/>
      <c r="K34" s="150">
        <v>81000</v>
      </c>
      <c r="L34" s="2">
        <v>269</v>
      </c>
      <c r="M34" s="145">
        <v>3.6999999999999998E-2</v>
      </c>
      <c r="N34" s="9">
        <f t="shared" si="0"/>
        <v>1104.3739726027397</v>
      </c>
      <c r="O34" s="38"/>
      <c r="Q34" s="38"/>
    </row>
    <row r="35" spans="1:17" s="11" customFormat="1" ht="22.15" customHeight="1" x14ac:dyDescent="0.25">
      <c r="A35" s="62">
        <v>36</v>
      </c>
      <c r="B35" s="4" t="s">
        <v>109</v>
      </c>
      <c r="C35" s="5"/>
      <c r="D35" s="6" t="s">
        <v>110</v>
      </c>
      <c r="E35" s="7" t="s">
        <v>111</v>
      </c>
      <c r="F35" s="1">
        <v>44658</v>
      </c>
      <c r="G35" s="8">
        <v>1500000</v>
      </c>
      <c r="H35" s="1">
        <v>45245</v>
      </c>
      <c r="I35" s="8"/>
      <c r="J35" s="1"/>
      <c r="K35" s="150">
        <v>1500000</v>
      </c>
      <c r="L35" s="2">
        <v>269</v>
      </c>
      <c r="M35" s="145">
        <v>3.6999999999999998E-2</v>
      </c>
      <c r="N35" s="9">
        <f t="shared" si="0"/>
        <v>20451.369863013697</v>
      </c>
      <c r="O35" s="38"/>
      <c r="Q35" s="38"/>
    </row>
    <row r="36" spans="1:17" s="11" customFormat="1" ht="22.15" customHeight="1" x14ac:dyDescent="0.25">
      <c r="A36" s="62">
        <v>36</v>
      </c>
      <c r="B36" s="4" t="s">
        <v>109</v>
      </c>
      <c r="C36" s="5"/>
      <c r="D36" s="6" t="s">
        <v>110</v>
      </c>
      <c r="E36" s="7" t="s">
        <v>111</v>
      </c>
      <c r="F36" s="1">
        <v>44658</v>
      </c>
      <c r="G36" s="8">
        <v>219000</v>
      </c>
      <c r="H36" s="1">
        <v>45458</v>
      </c>
      <c r="I36" s="8"/>
      <c r="J36" s="1"/>
      <c r="K36" s="150">
        <v>219000</v>
      </c>
      <c r="L36" s="2">
        <v>269</v>
      </c>
      <c r="M36" s="145">
        <v>3.6999999999999998E-2</v>
      </c>
      <c r="N36" s="9">
        <f t="shared" si="0"/>
        <v>2985.9</v>
      </c>
      <c r="O36" s="38"/>
      <c r="Q36" s="38"/>
    </row>
    <row r="37" spans="1:17" s="11" customFormat="1" ht="22.15" customHeight="1" x14ac:dyDescent="0.25">
      <c r="A37" s="62">
        <v>36</v>
      </c>
      <c r="B37" s="4" t="s">
        <v>109</v>
      </c>
      <c r="C37" s="5"/>
      <c r="D37" s="6" t="s">
        <v>110</v>
      </c>
      <c r="E37" s="7" t="s">
        <v>111</v>
      </c>
      <c r="F37" s="1">
        <v>44679</v>
      </c>
      <c r="G37" s="8">
        <v>519000</v>
      </c>
      <c r="H37" s="1">
        <v>45458</v>
      </c>
      <c r="I37" s="8"/>
      <c r="J37" s="1"/>
      <c r="K37" s="150">
        <v>519000</v>
      </c>
      <c r="L37" s="2">
        <v>248</v>
      </c>
      <c r="M37" s="145">
        <v>3.6999999999999998E-2</v>
      </c>
      <c r="N37" s="9">
        <f t="shared" si="0"/>
        <v>6523.7589041095889</v>
      </c>
      <c r="O37" s="38"/>
      <c r="Q37" s="38"/>
    </row>
    <row r="38" spans="1:17" s="11" customFormat="1" ht="22.15" customHeight="1" x14ac:dyDescent="0.25">
      <c r="A38" s="62">
        <v>36</v>
      </c>
      <c r="B38" s="4" t="s">
        <v>109</v>
      </c>
      <c r="C38" s="5"/>
      <c r="D38" s="6" t="s">
        <v>110</v>
      </c>
      <c r="E38" s="7" t="s">
        <v>111</v>
      </c>
      <c r="F38" s="1">
        <v>44698</v>
      </c>
      <c r="G38" s="8">
        <v>2762000</v>
      </c>
      <c r="H38" s="1">
        <v>45458</v>
      </c>
      <c r="I38" s="8"/>
      <c r="J38" s="44"/>
      <c r="K38" s="150">
        <v>2762000</v>
      </c>
      <c r="L38" s="2">
        <v>229</v>
      </c>
      <c r="M38" s="145">
        <v>3.6999999999999998E-2</v>
      </c>
      <c r="N38" s="9">
        <f t="shared" si="0"/>
        <v>32058.11780821918</v>
      </c>
      <c r="O38" s="38"/>
      <c r="Q38" s="38"/>
    </row>
    <row r="39" spans="1:17" s="11" customFormat="1" ht="22.15" customHeight="1" x14ac:dyDescent="0.25">
      <c r="A39" s="62">
        <v>36</v>
      </c>
      <c r="B39" s="4" t="s">
        <v>109</v>
      </c>
      <c r="C39" s="5"/>
      <c r="D39" s="6" t="s">
        <v>110</v>
      </c>
      <c r="E39" s="7" t="s">
        <v>111</v>
      </c>
      <c r="F39" s="1">
        <v>44698</v>
      </c>
      <c r="G39" s="8">
        <v>2238000</v>
      </c>
      <c r="H39" s="1">
        <v>45611</v>
      </c>
      <c r="I39" s="8"/>
      <c r="J39" s="44"/>
      <c r="K39" s="150">
        <v>2238000</v>
      </c>
      <c r="L39" s="2">
        <v>229</v>
      </c>
      <c r="M39" s="145">
        <v>3.6999999999999998E-2</v>
      </c>
      <c r="N39" s="9">
        <f t="shared" si="0"/>
        <v>25976.128767123286</v>
      </c>
      <c r="O39" s="38"/>
      <c r="Q39" s="38"/>
    </row>
    <row r="40" spans="1:17" s="11" customFormat="1" ht="22.15" customHeight="1" x14ac:dyDescent="0.25">
      <c r="A40" s="62">
        <v>36</v>
      </c>
      <c r="B40" s="4" t="s">
        <v>109</v>
      </c>
      <c r="C40" s="5"/>
      <c r="D40" s="6" t="s">
        <v>110</v>
      </c>
      <c r="E40" s="7" t="s">
        <v>111</v>
      </c>
      <c r="F40" s="1">
        <v>44711</v>
      </c>
      <c r="G40" s="8">
        <v>519000</v>
      </c>
      <c r="H40" s="1">
        <v>45611</v>
      </c>
      <c r="I40" s="8"/>
      <c r="J40" s="34"/>
      <c r="K40" s="150">
        <v>519000</v>
      </c>
      <c r="L40" s="2">
        <v>216</v>
      </c>
      <c r="M40" s="145">
        <v>3.6999999999999998E-2</v>
      </c>
      <c r="N40" s="9">
        <f t="shared" si="0"/>
        <v>5681.9835616438359</v>
      </c>
      <c r="O40" s="38"/>
      <c r="Q40" s="38"/>
    </row>
    <row r="41" spans="1:17" s="11" customFormat="1" ht="22.15" customHeight="1" x14ac:dyDescent="0.25">
      <c r="A41" s="62">
        <v>36</v>
      </c>
      <c r="B41" s="4" t="s">
        <v>109</v>
      </c>
      <c r="C41" s="5"/>
      <c r="D41" s="6" t="s">
        <v>110</v>
      </c>
      <c r="E41" s="7" t="s">
        <v>111</v>
      </c>
      <c r="F41" s="1">
        <v>44713</v>
      </c>
      <c r="G41" s="8">
        <v>743000</v>
      </c>
      <c r="H41" s="1">
        <v>45611</v>
      </c>
      <c r="I41" s="8"/>
      <c r="J41" s="34"/>
      <c r="K41" s="150">
        <v>743000</v>
      </c>
      <c r="L41" s="2">
        <v>214</v>
      </c>
      <c r="M41" s="145">
        <v>3.6999999999999998E-2</v>
      </c>
      <c r="N41" s="9">
        <f t="shared" si="0"/>
        <v>8059.0054794520538</v>
      </c>
      <c r="O41" s="38"/>
      <c r="Q41" s="38"/>
    </row>
    <row r="42" spans="1:17" s="11" customFormat="1" ht="22.15" customHeight="1" x14ac:dyDescent="0.25">
      <c r="A42" s="62">
        <v>36</v>
      </c>
      <c r="B42" s="4" t="s">
        <v>109</v>
      </c>
      <c r="C42" s="5"/>
      <c r="D42" s="6" t="s">
        <v>110</v>
      </c>
      <c r="E42" s="7" t="s">
        <v>111</v>
      </c>
      <c r="F42" s="1">
        <v>44713</v>
      </c>
      <c r="G42" s="8">
        <v>257000</v>
      </c>
      <c r="H42" s="1">
        <v>45823</v>
      </c>
      <c r="I42" s="8"/>
      <c r="J42" s="34"/>
      <c r="K42" s="150">
        <v>257000</v>
      </c>
      <c r="L42" s="2">
        <v>214</v>
      </c>
      <c r="M42" s="145">
        <v>3.6999999999999998E-2</v>
      </c>
      <c r="N42" s="9">
        <f t="shared" si="0"/>
        <v>2787.5698630136985</v>
      </c>
      <c r="O42" s="38"/>
      <c r="Q42" s="38"/>
    </row>
    <row r="43" spans="1:17" s="11" customFormat="1" ht="22.15" customHeight="1" x14ac:dyDescent="0.25">
      <c r="A43" s="62">
        <v>36</v>
      </c>
      <c r="B43" s="4" t="s">
        <v>109</v>
      </c>
      <c r="C43" s="5"/>
      <c r="D43" s="6" t="s">
        <v>110</v>
      </c>
      <c r="E43" s="7" t="s">
        <v>111</v>
      </c>
      <c r="F43" s="1">
        <v>44742</v>
      </c>
      <c r="G43" s="8">
        <v>519000</v>
      </c>
      <c r="H43" s="1">
        <v>45823</v>
      </c>
      <c r="I43" s="8"/>
      <c r="J43" s="34"/>
      <c r="K43" s="150">
        <v>519000</v>
      </c>
      <c r="L43" s="2">
        <v>185</v>
      </c>
      <c r="M43" s="145">
        <v>3.6999999999999998E-2</v>
      </c>
      <c r="N43" s="9">
        <f t="shared" si="0"/>
        <v>4866.5136986301368</v>
      </c>
      <c r="O43" s="38"/>
      <c r="Q43" s="38"/>
    </row>
    <row r="44" spans="1:17" s="11" customFormat="1" ht="22.15" customHeight="1" x14ac:dyDescent="0.25">
      <c r="A44" s="62">
        <v>36</v>
      </c>
      <c r="B44" s="4" t="s">
        <v>109</v>
      </c>
      <c r="C44" s="5"/>
      <c r="D44" s="6" t="s">
        <v>110</v>
      </c>
      <c r="E44" s="7" t="s">
        <v>111</v>
      </c>
      <c r="F44" s="1">
        <v>44874</v>
      </c>
      <c r="G44" s="8">
        <v>817500</v>
      </c>
      <c r="H44" s="1">
        <v>45823</v>
      </c>
      <c r="I44" s="8"/>
      <c r="J44" s="1"/>
      <c r="K44" s="150">
        <v>817500</v>
      </c>
      <c r="L44" s="2">
        <v>53</v>
      </c>
      <c r="M44" s="145">
        <v>3.6999999999999998E-2</v>
      </c>
      <c r="N44" s="9">
        <f t="shared" si="0"/>
        <v>2196.0513698630139</v>
      </c>
      <c r="O44" s="38"/>
      <c r="Q44" s="38"/>
    </row>
    <row r="45" spans="1:17" s="11" customFormat="1" ht="22.15" customHeight="1" x14ac:dyDescent="0.25">
      <c r="A45" s="62">
        <v>36</v>
      </c>
      <c r="B45" s="4" t="s">
        <v>109</v>
      </c>
      <c r="C45" s="5"/>
      <c r="D45" s="6" t="s">
        <v>110</v>
      </c>
      <c r="E45" s="7" t="s">
        <v>111</v>
      </c>
      <c r="F45" s="1">
        <v>44890</v>
      </c>
      <c r="G45" s="8">
        <v>3406500</v>
      </c>
      <c r="H45" s="1">
        <v>45823</v>
      </c>
      <c r="I45" s="8"/>
      <c r="J45" s="34"/>
      <c r="K45" s="150">
        <v>3406500</v>
      </c>
      <c r="L45" s="2">
        <v>37</v>
      </c>
      <c r="M45" s="145">
        <v>3.6999999999999998E-2</v>
      </c>
      <c r="N45" s="9">
        <f t="shared" si="0"/>
        <v>6388.3541095890414</v>
      </c>
      <c r="O45" s="38"/>
      <c r="Q45" s="38"/>
    </row>
    <row r="46" spans="1:17" s="11" customFormat="1" ht="22.15" customHeight="1" x14ac:dyDescent="0.25">
      <c r="A46" s="62">
        <v>36</v>
      </c>
      <c r="B46" s="4" t="s">
        <v>109</v>
      </c>
      <c r="C46" s="5"/>
      <c r="D46" s="6" t="s">
        <v>110</v>
      </c>
      <c r="E46" s="7" t="s">
        <v>111</v>
      </c>
      <c r="F46" s="1">
        <v>44890</v>
      </c>
      <c r="G46" s="8">
        <v>1593500</v>
      </c>
      <c r="H46" s="1">
        <v>45976</v>
      </c>
      <c r="I46" s="8"/>
      <c r="J46" s="1"/>
      <c r="K46" s="150">
        <v>1593500</v>
      </c>
      <c r="L46" s="2">
        <v>37</v>
      </c>
      <c r="M46" s="145">
        <v>3.6999999999999998E-2</v>
      </c>
      <c r="N46" s="9">
        <f t="shared" si="0"/>
        <v>2988.3582191780824</v>
      </c>
      <c r="O46" s="38"/>
      <c r="Q46" s="38"/>
    </row>
    <row r="47" spans="1:17" s="11" customFormat="1" ht="22.15" customHeight="1" x14ac:dyDescent="0.25">
      <c r="A47" s="3">
        <v>37</v>
      </c>
      <c r="B47" s="4" t="s">
        <v>118</v>
      </c>
      <c r="C47" s="5"/>
      <c r="D47" s="6" t="s">
        <v>119</v>
      </c>
      <c r="E47" s="7" t="s">
        <v>120</v>
      </c>
      <c r="F47" s="1">
        <v>44761</v>
      </c>
      <c r="G47" s="8">
        <v>1270000</v>
      </c>
      <c r="H47" s="1">
        <v>45835</v>
      </c>
      <c r="I47" s="8"/>
      <c r="J47" s="1"/>
      <c r="K47" s="150">
        <v>1270000</v>
      </c>
      <c r="L47" s="2">
        <v>166</v>
      </c>
      <c r="M47" s="145">
        <v>3.6999999999999998E-2</v>
      </c>
      <c r="N47" s="9">
        <f t="shared" si="0"/>
        <v>10685.397260273974</v>
      </c>
      <c r="O47" s="38"/>
      <c r="Q47" s="38"/>
    </row>
    <row r="48" spans="1:17" s="11" customFormat="1" ht="22.15" customHeight="1" x14ac:dyDescent="0.25">
      <c r="A48" s="3">
        <v>37</v>
      </c>
      <c r="B48" s="4" t="s">
        <v>118</v>
      </c>
      <c r="C48" s="5"/>
      <c r="D48" s="6" t="s">
        <v>119</v>
      </c>
      <c r="E48" s="7" t="s">
        <v>120</v>
      </c>
      <c r="F48" s="1">
        <v>44769</v>
      </c>
      <c r="G48" s="8">
        <v>12980000</v>
      </c>
      <c r="H48" s="1">
        <v>45835</v>
      </c>
      <c r="I48" s="8"/>
      <c r="J48" s="1"/>
      <c r="K48" s="150">
        <v>12980000</v>
      </c>
      <c r="L48" s="2">
        <v>158</v>
      </c>
      <c r="M48" s="145">
        <v>3.6999999999999998E-2</v>
      </c>
      <c r="N48" s="9">
        <f t="shared" si="0"/>
        <v>103946.68493150685</v>
      </c>
      <c r="O48" s="38"/>
      <c r="Q48" s="38"/>
    </row>
    <row r="49" spans="1:17" s="11" customFormat="1" ht="22.15" customHeight="1" x14ac:dyDescent="0.25">
      <c r="A49" s="3">
        <v>37</v>
      </c>
      <c r="B49" s="4" t="s">
        <v>118</v>
      </c>
      <c r="C49" s="5"/>
      <c r="D49" s="6" t="s">
        <v>119</v>
      </c>
      <c r="E49" s="7" t="s">
        <v>120</v>
      </c>
      <c r="F49" s="1">
        <v>44778</v>
      </c>
      <c r="G49" s="8">
        <v>2250000</v>
      </c>
      <c r="H49" s="1">
        <v>45835</v>
      </c>
      <c r="I49" s="8"/>
      <c r="J49" s="1"/>
      <c r="K49" s="8">
        <v>2250000</v>
      </c>
      <c r="L49" s="2">
        <v>149</v>
      </c>
      <c r="M49" s="145">
        <v>3.6999999999999998E-2</v>
      </c>
      <c r="N49" s="9">
        <f t="shared" si="0"/>
        <v>16992.123287671231</v>
      </c>
      <c r="O49" s="38"/>
      <c r="Q49" s="38"/>
    </row>
    <row r="50" spans="1:17" s="11" customFormat="1" ht="22.15" customHeight="1" x14ac:dyDescent="0.25">
      <c r="A50" s="3">
        <v>37</v>
      </c>
      <c r="B50" s="4" t="s">
        <v>118</v>
      </c>
      <c r="C50" s="5"/>
      <c r="D50" s="6" t="s">
        <v>119</v>
      </c>
      <c r="E50" s="7" t="s">
        <v>124</v>
      </c>
      <c r="F50" s="1">
        <v>44922</v>
      </c>
      <c r="G50" s="8">
        <v>17500000</v>
      </c>
      <c r="H50" s="1">
        <v>47101</v>
      </c>
      <c r="I50" s="8"/>
      <c r="J50" s="1"/>
      <c r="K50" s="150">
        <f>20000000-K49-K48-K47</f>
        <v>3500000</v>
      </c>
      <c r="L50" s="2">
        <v>5</v>
      </c>
      <c r="M50" s="145">
        <v>4.4499999999999998E-2</v>
      </c>
      <c r="N50" s="9">
        <f t="shared" si="0"/>
        <v>1066.7808219178082</v>
      </c>
      <c r="O50" s="38"/>
      <c r="Q50" s="38"/>
    </row>
    <row r="51" spans="1:17" s="11" customFormat="1" ht="22.15" customHeight="1" x14ac:dyDescent="0.25">
      <c r="A51" s="3">
        <v>38</v>
      </c>
      <c r="B51" s="4" t="s">
        <v>125</v>
      </c>
      <c r="C51" s="5"/>
      <c r="D51" s="6" t="s">
        <v>119</v>
      </c>
      <c r="E51" s="7" t="s">
        <v>126</v>
      </c>
      <c r="F51" s="1">
        <v>44832</v>
      </c>
      <c r="G51" s="8">
        <v>4000000</v>
      </c>
      <c r="H51" s="1">
        <v>45288</v>
      </c>
      <c r="I51" s="8"/>
      <c r="J51" s="1"/>
      <c r="K51" s="150">
        <v>4000000</v>
      </c>
      <c r="L51" s="2">
        <v>95</v>
      </c>
      <c r="M51" s="145">
        <v>3.6999999999999998E-2</v>
      </c>
      <c r="N51" s="9">
        <f t="shared" si="0"/>
        <v>19260.273972602739</v>
      </c>
      <c r="O51" s="38"/>
      <c r="Q51" s="38"/>
    </row>
    <row r="52" spans="1:17" s="11" customFormat="1" ht="22.15" customHeight="1" x14ac:dyDescent="0.25">
      <c r="A52" s="3">
        <v>38</v>
      </c>
      <c r="B52" s="4" t="s">
        <v>125</v>
      </c>
      <c r="C52" s="5"/>
      <c r="D52" s="6" t="s">
        <v>119</v>
      </c>
      <c r="E52" s="7" t="s">
        <v>126</v>
      </c>
      <c r="F52" s="1">
        <v>44832</v>
      </c>
      <c r="G52" s="8">
        <v>3000000</v>
      </c>
      <c r="H52" s="1">
        <v>45208</v>
      </c>
      <c r="I52" s="8"/>
      <c r="J52" s="1"/>
      <c r="K52" s="150">
        <v>3000000</v>
      </c>
      <c r="L52" s="2">
        <v>95</v>
      </c>
      <c r="M52" s="145">
        <v>3.6999999999999998E-2</v>
      </c>
      <c r="N52" s="9">
        <f t="shared" si="0"/>
        <v>14445.205479452055</v>
      </c>
      <c r="O52" s="38"/>
      <c r="Q52" s="38"/>
    </row>
    <row r="53" spans="1:17" s="11" customFormat="1" ht="22.15" customHeight="1" x14ac:dyDescent="0.25">
      <c r="A53" s="3">
        <v>38</v>
      </c>
      <c r="B53" s="4" t="s">
        <v>125</v>
      </c>
      <c r="C53" s="5"/>
      <c r="D53" s="6" t="s">
        <v>119</v>
      </c>
      <c r="E53" s="7" t="s">
        <v>126</v>
      </c>
      <c r="F53" s="1">
        <v>44832</v>
      </c>
      <c r="G53" s="8">
        <v>2000000</v>
      </c>
      <c r="H53" s="1">
        <v>45383</v>
      </c>
      <c r="I53" s="8"/>
      <c r="J53" s="1"/>
      <c r="K53" s="150">
        <v>2000000</v>
      </c>
      <c r="L53" s="2">
        <v>95</v>
      </c>
      <c r="M53" s="145">
        <v>3.6999999999999998E-2</v>
      </c>
      <c r="N53" s="9">
        <f t="shared" si="0"/>
        <v>9630.1369863013697</v>
      </c>
      <c r="O53" s="38"/>
      <c r="Q53" s="38"/>
    </row>
    <row r="54" spans="1:17" s="11" customFormat="1" ht="22.15" customHeight="1" x14ac:dyDescent="0.25">
      <c r="A54" s="3">
        <v>38</v>
      </c>
      <c r="B54" s="4" t="s">
        <v>125</v>
      </c>
      <c r="C54" s="5"/>
      <c r="D54" s="6" t="s">
        <v>119</v>
      </c>
      <c r="E54" s="7" t="s">
        <v>131</v>
      </c>
      <c r="F54" s="1">
        <v>44865</v>
      </c>
      <c r="G54" s="8">
        <v>4900000</v>
      </c>
      <c r="H54" s="1">
        <v>45474</v>
      </c>
      <c r="I54" s="8"/>
      <c r="J54" s="1"/>
      <c r="K54" s="150">
        <v>4900000</v>
      </c>
      <c r="L54" s="2">
        <v>62</v>
      </c>
      <c r="M54" s="145">
        <v>3.6999999999999998E-2</v>
      </c>
      <c r="N54" s="9">
        <f t="shared" si="0"/>
        <v>15398.082191780821</v>
      </c>
      <c r="O54" s="38"/>
      <c r="Q54" s="38"/>
    </row>
    <row r="55" spans="1:17" s="11" customFormat="1" ht="22.15" customHeight="1" x14ac:dyDescent="0.25">
      <c r="A55" s="3">
        <v>38</v>
      </c>
      <c r="B55" s="4" t="s">
        <v>125</v>
      </c>
      <c r="C55" s="5"/>
      <c r="D55" s="6" t="s">
        <v>119</v>
      </c>
      <c r="E55" s="7" t="s">
        <v>131</v>
      </c>
      <c r="F55" s="1">
        <v>44896</v>
      </c>
      <c r="G55" s="8">
        <v>4900000</v>
      </c>
      <c r="H55" s="1">
        <v>45573</v>
      </c>
      <c r="I55" s="8"/>
      <c r="J55" s="1"/>
      <c r="K55" s="150">
        <v>4900000</v>
      </c>
      <c r="L55" s="2">
        <v>31</v>
      </c>
      <c r="M55" s="145">
        <v>3.6999999999999998E-2</v>
      </c>
      <c r="N55" s="9">
        <f t="shared" si="0"/>
        <v>7699.0410958904104</v>
      </c>
      <c r="O55" s="38"/>
      <c r="Q55" s="38"/>
    </row>
    <row r="56" spans="1:17" s="59" customFormat="1" ht="22.15" customHeight="1" x14ac:dyDescent="0.25">
      <c r="A56" s="48">
        <v>39</v>
      </c>
      <c r="B56" s="49" t="s">
        <v>132</v>
      </c>
      <c r="C56" s="50"/>
      <c r="D56" s="51" t="s">
        <v>133</v>
      </c>
      <c r="E56" s="52" t="s">
        <v>134</v>
      </c>
      <c r="F56" s="53">
        <v>44573</v>
      </c>
      <c r="G56" s="54">
        <v>3258969</v>
      </c>
      <c r="H56" s="53">
        <v>44677</v>
      </c>
      <c r="I56" s="54">
        <v>3258969</v>
      </c>
      <c r="J56" s="53">
        <v>44677</v>
      </c>
      <c r="K56" s="151"/>
      <c r="L56" s="55"/>
      <c r="M56" s="145">
        <v>3.6999999999999998E-2</v>
      </c>
      <c r="N56" s="9">
        <f t="shared" si="0"/>
        <v>0</v>
      </c>
      <c r="O56" s="60"/>
      <c r="Q56" s="60"/>
    </row>
    <row r="57" spans="1:17" s="59" customFormat="1" ht="22.15" customHeight="1" x14ac:dyDescent="0.25">
      <c r="A57" s="48">
        <v>39</v>
      </c>
      <c r="B57" s="49" t="s">
        <v>132</v>
      </c>
      <c r="C57" s="50"/>
      <c r="D57" s="51" t="s">
        <v>133</v>
      </c>
      <c r="E57" s="52" t="s">
        <v>138</v>
      </c>
      <c r="F57" s="53">
        <v>44578</v>
      </c>
      <c r="G57" s="54">
        <v>3685753</v>
      </c>
      <c r="H57" s="53">
        <v>44677</v>
      </c>
      <c r="I57" s="54">
        <v>3685753</v>
      </c>
      <c r="J57" s="53">
        <v>44677</v>
      </c>
      <c r="K57" s="151"/>
      <c r="L57" s="55"/>
      <c r="M57" s="145">
        <v>3.6999999999999998E-2</v>
      </c>
      <c r="N57" s="9">
        <f t="shared" si="0"/>
        <v>0</v>
      </c>
      <c r="O57" s="60"/>
      <c r="Q57" s="60"/>
    </row>
    <row r="58" spans="1:17" s="59" customFormat="1" ht="22.15" customHeight="1" x14ac:dyDescent="0.25">
      <c r="A58" s="48">
        <v>39</v>
      </c>
      <c r="B58" s="49" t="s">
        <v>132</v>
      </c>
      <c r="C58" s="50"/>
      <c r="D58" s="51" t="s">
        <v>133</v>
      </c>
      <c r="E58" s="52" t="s">
        <v>139</v>
      </c>
      <c r="F58" s="53">
        <v>44586</v>
      </c>
      <c r="G58" s="54">
        <v>47412817.539999999</v>
      </c>
      <c r="H58" s="53">
        <v>44677</v>
      </c>
      <c r="I58" s="54">
        <v>47412817.539999999</v>
      </c>
      <c r="J58" s="53">
        <v>44677</v>
      </c>
      <c r="K58" s="151"/>
      <c r="L58" s="55"/>
      <c r="M58" s="145">
        <v>3.6999999999999998E-2</v>
      </c>
      <c r="N58" s="9">
        <f t="shared" si="0"/>
        <v>0</v>
      </c>
      <c r="O58" s="60"/>
      <c r="Q58" s="60"/>
    </row>
    <row r="59" spans="1:17" s="59" customFormat="1" ht="22.15" customHeight="1" x14ac:dyDescent="0.25">
      <c r="A59" s="48">
        <v>39</v>
      </c>
      <c r="B59" s="49" t="s">
        <v>132</v>
      </c>
      <c r="C59" s="50"/>
      <c r="D59" s="51" t="s">
        <v>133</v>
      </c>
      <c r="E59" s="52" t="s">
        <v>140</v>
      </c>
      <c r="F59" s="53">
        <v>44627</v>
      </c>
      <c r="G59" s="54">
        <v>3400000</v>
      </c>
      <c r="H59" s="53">
        <v>44677</v>
      </c>
      <c r="I59" s="54">
        <v>3400000</v>
      </c>
      <c r="J59" s="53">
        <v>44677</v>
      </c>
      <c r="K59" s="151"/>
      <c r="L59" s="55"/>
      <c r="M59" s="145">
        <v>3.6999999999999998E-2</v>
      </c>
      <c r="N59" s="9">
        <f t="shared" si="0"/>
        <v>0</v>
      </c>
      <c r="O59" s="60"/>
      <c r="Q59" s="60"/>
    </row>
    <row r="60" spans="1:17" s="59" customFormat="1" ht="22.15" customHeight="1" x14ac:dyDescent="0.25">
      <c r="A60" s="48">
        <v>39</v>
      </c>
      <c r="B60" s="49" t="s">
        <v>132</v>
      </c>
      <c r="C60" s="50"/>
      <c r="D60" s="51" t="s">
        <v>133</v>
      </c>
      <c r="E60" s="52" t="s">
        <v>141</v>
      </c>
      <c r="F60" s="53">
        <v>44645</v>
      </c>
      <c r="G60" s="54">
        <v>2873542.81</v>
      </c>
      <c r="H60" s="53">
        <v>44677</v>
      </c>
      <c r="I60" s="54">
        <v>2873542.81</v>
      </c>
      <c r="J60" s="53">
        <v>44677</v>
      </c>
      <c r="K60" s="151"/>
      <c r="L60" s="55"/>
      <c r="M60" s="145">
        <v>3.6999999999999998E-2</v>
      </c>
      <c r="N60" s="9">
        <f t="shared" si="0"/>
        <v>0</v>
      </c>
      <c r="O60" s="60"/>
      <c r="Q60" s="60"/>
    </row>
    <row r="61" spans="1:17" s="59" customFormat="1" ht="22.15" customHeight="1" x14ac:dyDescent="0.25">
      <c r="A61" s="48">
        <v>39</v>
      </c>
      <c r="B61" s="49" t="s">
        <v>132</v>
      </c>
      <c r="C61" s="50"/>
      <c r="D61" s="51" t="s">
        <v>133</v>
      </c>
      <c r="E61" s="52" t="s">
        <v>142</v>
      </c>
      <c r="F61" s="53">
        <v>44664</v>
      </c>
      <c r="G61" s="54">
        <v>1000000</v>
      </c>
      <c r="H61" s="53">
        <v>44733</v>
      </c>
      <c r="I61" s="54">
        <v>1000000</v>
      </c>
      <c r="J61" s="53">
        <v>44733</v>
      </c>
      <c r="K61" s="151"/>
      <c r="L61" s="55"/>
      <c r="M61" s="145">
        <v>3.6999999999999998E-2</v>
      </c>
      <c r="N61" s="9">
        <f t="shared" si="0"/>
        <v>0</v>
      </c>
      <c r="O61" s="60"/>
      <c r="Q61" s="60"/>
    </row>
    <row r="62" spans="1:17" s="11" customFormat="1" ht="22.15" customHeight="1" x14ac:dyDescent="0.25">
      <c r="A62" s="3">
        <v>39</v>
      </c>
      <c r="B62" s="4" t="s">
        <v>132</v>
      </c>
      <c r="C62" s="5"/>
      <c r="D62" s="6" t="s">
        <v>133</v>
      </c>
      <c r="E62" s="7" t="s">
        <v>142</v>
      </c>
      <c r="F62" s="1">
        <v>44664</v>
      </c>
      <c r="G62" s="8">
        <v>17000000</v>
      </c>
      <c r="H62" s="1">
        <v>45760</v>
      </c>
      <c r="I62" s="8">
        <v>17000000</v>
      </c>
      <c r="J62" s="1">
        <v>44886</v>
      </c>
      <c r="K62" s="8">
        <v>17000000</v>
      </c>
      <c r="L62" s="2">
        <v>143</v>
      </c>
      <c r="M62" s="145">
        <v>3.6999999999999998E-2</v>
      </c>
      <c r="N62" s="9">
        <f t="shared" si="0"/>
        <v>123215.06849315068</v>
      </c>
      <c r="O62" s="38"/>
      <c r="Q62" s="38"/>
    </row>
    <row r="63" spans="1:17" s="59" customFormat="1" ht="22.15" customHeight="1" x14ac:dyDescent="0.25">
      <c r="A63" s="48">
        <v>39</v>
      </c>
      <c r="B63" s="49" t="s">
        <v>132</v>
      </c>
      <c r="C63" s="50"/>
      <c r="D63" s="51" t="s">
        <v>133</v>
      </c>
      <c r="E63" s="52" t="s">
        <v>143</v>
      </c>
      <c r="F63" s="53">
        <v>44736</v>
      </c>
      <c r="G63" s="54">
        <v>1110000</v>
      </c>
      <c r="H63" s="53">
        <v>44736</v>
      </c>
      <c r="I63" s="54">
        <v>1110000</v>
      </c>
      <c r="J63" s="53">
        <v>44742</v>
      </c>
      <c r="K63" s="151"/>
      <c r="L63" s="55"/>
      <c r="M63" s="145">
        <v>3.6999999999999998E-2</v>
      </c>
      <c r="N63" s="9">
        <f t="shared" si="0"/>
        <v>0</v>
      </c>
      <c r="O63" s="60"/>
      <c r="Q63" s="60"/>
    </row>
    <row r="64" spans="1:17" s="11" customFormat="1" ht="22.15" customHeight="1" x14ac:dyDescent="0.25">
      <c r="A64" s="3">
        <v>39</v>
      </c>
      <c r="B64" s="4" t="s">
        <v>132</v>
      </c>
      <c r="C64" s="5"/>
      <c r="D64" s="6" t="s">
        <v>133</v>
      </c>
      <c r="E64" s="7" t="s">
        <v>143</v>
      </c>
      <c r="F64" s="1">
        <v>44736</v>
      </c>
      <c r="G64" s="8">
        <v>18890000</v>
      </c>
      <c r="H64" s="1">
        <v>45657</v>
      </c>
      <c r="I64" s="8">
        <v>18890000</v>
      </c>
      <c r="J64" s="1">
        <v>44886</v>
      </c>
      <c r="K64" s="150">
        <v>3000000</v>
      </c>
      <c r="L64" s="2">
        <v>143</v>
      </c>
      <c r="M64" s="145">
        <v>3.6999999999999998E-2</v>
      </c>
      <c r="N64" s="9">
        <f t="shared" si="0"/>
        <v>21743.835616438355</v>
      </c>
      <c r="O64" s="38"/>
      <c r="Q64" s="38"/>
    </row>
    <row r="65" spans="1:17" s="11" customFormat="1" ht="22.15" customHeight="1" x14ac:dyDescent="0.25">
      <c r="A65" s="3">
        <v>39</v>
      </c>
      <c r="B65" s="4" t="s">
        <v>144</v>
      </c>
      <c r="C65" s="5"/>
      <c r="D65" s="6" t="s">
        <v>133</v>
      </c>
      <c r="E65" s="7" t="s">
        <v>145</v>
      </c>
      <c r="F65" s="1">
        <v>44923</v>
      </c>
      <c r="G65" s="8">
        <v>10000000</v>
      </c>
      <c r="H65" s="1">
        <v>45653</v>
      </c>
      <c r="I65" s="8"/>
      <c r="J65" s="1"/>
      <c r="K65" s="150">
        <v>20000000</v>
      </c>
      <c r="L65" s="2">
        <v>4</v>
      </c>
      <c r="M65" s="145">
        <v>3.6999999999999998E-2</v>
      </c>
      <c r="N65" s="9">
        <f t="shared" si="0"/>
        <v>4054.794520547945</v>
      </c>
      <c r="O65" s="38"/>
      <c r="Q65" s="38"/>
    </row>
  </sheetData>
  <phoneticPr fontId="1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L75" sqref="L75"/>
    </sheetView>
  </sheetViews>
  <sheetFormatPr defaultColWidth="9" defaultRowHeight="14" x14ac:dyDescent="0.25"/>
  <cols>
    <col min="1" max="1" width="9.08984375" style="157" bestFit="1" customWidth="1"/>
    <col min="2" max="2" width="29.6328125" style="157" bestFit="1" customWidth="1"/>
    <col min="3" max="3" width="33.90625" style="157" bestFit="1" customWidth="1"/>
    <col min="4" max="4" width="17.08984375" style="157" bestFit="1" customWidth="1"/>
    <col min="5" max="5" width="9.6328125" style="157" bestFit="1" customWidth="1"/>
    <col min="6" max="6" width="11.08984375" style="157" bestFit="1" customWidth="1"/>
    <col min="7" max="7" width="11.90625" style="158" bestFit="1" customWidth="1"/>
    <col min="8" max="8" width="9.08984375" style="157" bestFit="1" customWidth="1"/>
    <col min="9" max="9" width="9.08984375" style="157" customWidth="1"/>
    <col min="10" max="10" width="15" style="157" bestFit="1" customWidth="1"/>
    <col min="11" max="11" width="9" style="157"/>
    <col min="12" max="12" width="9.26953125" style="157" bestFit="1" customWidth="1"/>
    <col min="13" max="16384" width="9" style="157"/>
  </cols>
  <sheetData>
    <row r="1" spans="1:14" s="23" customFormat="1" ht="14.5" x14ac:dyDescent="0.25">
      <c r="A1" s="30" t="s">
        <v>13</v>
      </c>
      <c r="B1" s="12" t="s">
        <v>0</v>
      </c>
      <c r="C1" s="14" t="s">
        <v>2</v>
      </c>
      <c r="D1" s="15" t="s">
        <v>3</v>
      </c>
      <c r="E1" s="16" t="s">
        <v>4</v>
      </c>
      <c r="F1" s="17" t="s">
        <v>5</v>
      </c>
      <c r="G1" s="149" t="s">
        <v>395</v>
      </c>
      <c r="H1" s="144" t="s">
        <v>396</v>
      </c>
      <c r="I1" s="20" t="s">
        <v>394</v>
      </c>
      <c r="J1" s="21" t="s">
        <v>17</v>
      </c>
    </row>
    <row r="2" spans="1:14" s="77" customFormat="1" ht="22.15" customHeight="1" x14ac:dyDescent="0.25">
      <c r="A2" s="3">
        <v>30</v>
      </c>
      <c r="B2" s="4" t="s">
        <v>378</v>
      </c>
      <c r="C2" s="31" t="s">
        <v>258</v>
      </c>
      <c r="D2" s="7" t="s">
        <v>389</v>
      </c>
      <c r="E2" s="1">
        <v>44652</v>
      </c>
      <c r="F2" s="8">
        <v>3180000</v>
      </c>
      <c r="G2" s="150">
        <v>3180000</v>
      </c>
      <c r="H2" s="2">
        <v>184</v>
      </c>
      <c r="I2" s="145">
        <v>3.6999999999999998E-2</v>
      </c>
      <c r="J2" s="9">
        <f>INT(G2*I2*0.5/365*H2)</f>
        <v>29656</v>
      </c>
      <c r="L2" s="76">
        <v>29656</v>
      </c>
      <c r="N2" s="203">
        <f>J2-L2</f>
        <v>0</v>
      </c>
    </row>
    <row r="3" spans="1:14" s="77" customFormat="1" ht="22.15" customHeight="1" x14ac:dyDescent="0.25">
      <c r="A3" s="3">
        <v>30</v>
      </c>
      <c r="B3" s="4" t="s">
        <v>378</v>
      </c>
      <c r="C3" s="31" t="s">
        <v>258</v>
      </c>
      <c r="D3" s="7" t="s">
        <v>389</v>
      </c>
      <c r="E3" s="1">
        <v>44652</v>
      </c>
      <c r="F3" s="8">
        <v>3120000</v>
      </c>
      <c r="G3" s="150">
        <v>3120000</v>
      </c>
      <c r="H3" s="2">
        <v>184</v>
      </c>
      <c r="I3" s="145">
        <v>3.6999999999999998E-2</v>
      </c>
      <c r="J3" s="9">
        <f t="shared" ref="J3:J46" si="0">INT(G3*I3*0.5/365*H3)</f>
        <v>29097</v>
      </c>
      <c r="L3" s="76">
        <v>29097</v>
      </c>
      <c r="N3" s="203">
        <f t="shared" ref="N3:N46" si="1">J3-L3</f>
        <v>0</v>
      </c>
    </row>
    <row r="4" spans="1:14" s="77" customFormat="1" ht="22.15" customHeight="1" x14ac:dyDescent="0.25">
      <c r="A4" s="3">
        <v>30</v>
      </c>
      <c r="B4" s="4" t="s">
        <v>378</v>
      </c>
      <c r="C4" s="31" t="s">
        <v>258</v>
      </c>
      <c r="D4" s="7" t="s">
        <v>389</v>
      </c>
      <c r="E4" s="1">
        <v>44652</v>
      </c>
      <c r="F4" s="8">
        <v>3120000</v>
      </c>
      <c r="G4" s="150">
        <v>3120000</v>
      </c>
      <c r="H4" s="2">
        <v>184</v>
      </c>
      <c r="I4" s="145">
        <v>3.6999999999999998E-2</v>
      </c>
      <c r="J4" s="9">
        <f t="shared" si="0"/>
        <v>29097</v>
      </c>
      <c r="L4" s="76">
        <v>29097</v>
      </c>
      <c r="N4" s="203">
        <f t="shared" si="1"/>
        <v>0</v>
      </c>
    </row>
    <row r="5" spans="1:14" s="77" customFormat="1" ht="22.15" customHeight="1" x14ac:dyDescent="0.25">
      <c r="A5" s="3">
        <v>30</v>
      </c>
      <c r="B5" s="4" t="s">
        <v>378</v>
      </c>
      <c r="C5" s="31" t="s">
        <v>258</v>
      </c>
      <c r="D5" s="7" t="s">
        <v>389</v>
      </c>
      <c r="E5" s="1">
        <v>44652</v>
      </c>
      <c r="F5" s="8">
        <v>3120000</v>
      </c>
      <c r="G5" s="150">
        <v>3120000</v>
      </c>
      <c r="H5" s="2">
        <v>184</v>
      </c>
      <c r="I5" s="145">
        <v>3.6999999999999998E-2</v>
      </c>
      <c r="J5" s="9">
        <f t="shared" si="0"/>
        <v>29097</v>
      </c>
      <c r="L5" s="76">
        <v>25165</v>
      </c>
      <c r="N5" s="203">
        <f t="shared" si="1"/>
        <v>3932</v>
      </c>
    </row>
    <row r="6" spans="1:14" s="77" customFormat="1" x14ac:dyDescent="0.25">
      <c r="A6" s="3">
        <v>30</v>
      </c>
      <c r="B6" s="4" t="s">
        <v>378</v>
      </c>
      <c r="C6" s="31" t="s">
        <v>258</v>
      </c>
      <c r="D6" s="7" t="s">
        <v>389</v>
      </c>
      <c r="E6" s="1">
        <v>44652</v>
      </c>
      <c r="F6" s="8">
        <v>3580000</v>
      </c>
      <c r="G6" s="150">
        <v>3580000</v>
      </c>
      <c r="H6" s="2">
        <v>184</v>
      </c>
      <c r="I6" s="145">
        <v>3.6999999999999998E-2</v>
      </c>
      <c r="J6" s="9">
        <f t="shared" si="0"/>
        <v>33387</v>
      </c>
      <c r="L6" s="76">
        <v>33387</v>
      </c>
      <c r="N6" s="203">
        <f t="shared" si="1"/>
        <v>0</v>
      </c>
    </row>
    <row r="7" spans="1:14" s="77" customFormat="1" ht="22.15" customHeight="1" x14ac:dyDescent="0.25">
      <c r="A7" s="3">
        <v>30</v>
      </c>
      <c r="B7" s="4" t="s">
        <v>378</v>
      </c>
      <c r="C7" s="31" t="s">
        <v>258</v>
      </c>
      <c r="D7" s="7" t="s">
        <v>389</v>
      </c>
      <c r="E7" s="1">
        <v>44652</v>
      </c>
      <c r="F7" s="8">
        <v>3580000</v>
      </c>
      <c r="G7" s="150">
        <v>3580000</v>
      </c>
      <c r="H7" s="2">
        <v>184</v>
      </c>
      <c r="I7" s="145">
        <v>3.6999999999999998E-2</v>
      </c>
      <c r="J7" s="9">
        <f t="shared" si="0"/>
        <v>33387</v>
      </c>
      <c r="L7" s="76">
        <v>33387</v>
      </c>
      <c r="N7" s="203">
        <f t="shared" si="1"/>
        <v>0</v>
      </c>
    </row>
    <row r="8" spans="1:14" s="77" customFormat="1" ht="22.15" customHeight="1" x14ac:dyDescent="0.25">
      <c r="A8" s="3">
        <v>30</v>
      </c>
      <c r="B8" s="4" t="s">
        <v>378</v>
      </c>
      <c r="C8" s="31" t="s">
        <v>258</v>
      </c>
      <c r="D8" s="7" t="s">
        <v>389</v>
      </c>
      <c r="E8" s="1">
        <v>44782</v>
      </c>
      <c r="F8" s="8">
        <v>7000000</v>
      </c>
      <c r="G8" s="150">
        <f>20000000-SUM(G2:G7)</f>
        <v>300000</v>
      </c>
      <c r="H8" s="2">
        <v>145</v>
      </c>
      <c r="I8" s="145">
        <v>3.6999999999999998E-2</v>
      </c>
      <c r="J8" s="9">
        <f t="shared" si="0"/>
        <v>2204</v>
      </c>
      <c r="L8" s="76">
        <v>2175</v>
      </c>
      <c r="N8" s="203">
        <f t="shared" si="1"/>
        <v>29</v>
      </c>
    </row>
    <row r="9" spans="1:14" s="11" customFormat="1" ht="22.15" customHeight="1" x14ac:dyDescent="0.25">
      <c r="A9" s="3">
        <v>31</v>
      </c>
      <c r="B9" s="4" t="s">
        <v>383</v>
      </c>
      <c r="C9" s="6" t="s">
        <v>384</v>
      </c>
      <c r="D9" s="7" t="s">
        <v>385</v>
      </c>
      <c r="E9" s="1">
        <v>44852</v>
      </c>
      <c r="F9" s="8">
        <v>9834732.4600000009</v>
      </c>
      <c r="G9" s="8">
        <v>9834732.4600000009</v>
      </c>
      <c r="H9" s="2">
        <v>75</v>
      </c>
      <c r="I9" s="145">
        <v>3.6999999999999998E-2</v>
      </c>
      <c r="J9" s="9">
        <f t="shared" si="0"/>
        <v>37385</v>
      </c>
      <c r="L9" s="38">
        <v>37385</v>
      </c>
      <c r="N9" s="203">
        <f t="shared" si="1"/>
        <v>0</v>
      </c>
    </row>
    <row r="10" spans="1:14" s="11" customFormat="1" ht="22.15" customHeight="1" x14ac:dyDescent="0.25">
      <c r="A10" s="3">
        <v>31</v>
      </c>
      <c r="B10" s="4" t="s">
        <v>383</v>
      </c>
      <c r="C10" s="6" t="s">
        <v>384</v>
      </c>
      <c r="D10" s="7" t="s">
        <v>385</v>
      </c>
      <c r="E10" s="1">
        <v>44895</v>
      </c>
      <c r="F10" s="8">
        <v>8490800</v>
      </c>
      <c r="G10" s="8">
        <v>8490800</v>
      </c>
      <c r="H10" s="2">
        <v>32</v>
      </c>
      <c r="I10" s="145">
        <v>3.6999999999999998E-2</v>
      </c>
      <c r="J10" s="9">
        <f t="shared" si="0"/>
        <v>13771</v>
      </c>
      <c r="L10" s="38">
        <v>13771</v>
      </c>
      <c r="N10" s="203">
        <f t="shared" si="1"/>
        <v>0</v>
      </c>
    </row>
    <row r="11" spans="1:14" s="11" customFormat="1" ht="22.15" customHeight="1" x14ac:dyDescent="0.25">
      <c r="A11" s="62">
        <v>32</v>
      </c>
      <c r="B11" s="4" t="s">
        <v>77</v>
      </c>
      <c r="C11" s="6" t="s">
        <v>78</v>
      </c>
      <c r="D11" s="7" t="s">
        <v>79</v>
      </c>
      <c r="E11" s="1">
        <v>44677</v>
      </c>
      <c r="F11" s="8">
        <v>4900000</v>
      </c>
      <c r="G11" s="150">
        <v>4900000</v>
      </c>
      <c r="H11" s="2">
        <v>184</v>
      </c>
      <c r="I11" s="145">
        <v>3.6999999999999998E-2</v>
      </c>
      <c r="J11" s="9">
        <f t="shared" si="0"/>
        <v>45697</v>
      </c>
      <c r="L11" s="11">
        <v>45697</v>
      </c>
      <c r="N11" s="203">
        <f t="shared" si="1"/>
        <v>0</v>
      </c>
    </row>
    <row r="12" spans="1:14" s="11" customFormat="1" ht="22.15" customHeight="1" x14ac:dyDescent="0.25">
      <c r="A12" s="62">
        <v>32</v>
      </c>
      <c r="B12" s="4" t="s">
        <v>77</v>
      </c>
      <c r="C12" s="6" t="s">
        <v>78</v>
      </c>
      <c r="D12" s="7" t="s">
        <v>79</v>
      </c>
      <c r="E12" s="1">
        <v>44691</v>
      </c>
      <c r="F12" s="8">
        <v>4250000</v>
      </c>
      <c r="G12" s="150">
        <v>4250000</v>
      </c>
      <c r="H12" s="2">
        <v>184</v>
      </c>
      <c r="I12" s="145">
        <v>3.6999999999999998E-2</v>
      </c>
      <c r="J12" s="9">
        <f t="shared" si="0"/>
        <v>39635</v>
      </c>
      <c r="L12" s="11">
        <v>39635</v>
      </c>
      <c r="N12" s="203">
        <f t="shared" si="1"/>
        <v>0</v>
      </c>
    </row>
    <row r="13" spans="1:14" s="11" customFormat="1" x14ac:dyDescent="0.25">
      <c r="A13" s="62">
        <v>32</v>
      </c>
      <c r="B13" s="4" t="s">
        <v>77</v>
      </c>
      <c r="C13" s="6" t="s">
        <v>78</v>
      </c>
      <c r="D13" s="7" t="s">
        <v>79</v>
      </c>
      <c r="E13" s="1">
        <v>44694</v>
      </c>
      <c r="F13" s="8">
        <v>2480000</v>
      </c>
      <c r="G13" s="150">
        <v>2480000</v>
      </c>
      <c r="H13" s="2">
        <v>184</v>
      </c>
      <c r="I13" s="145">
        <v>3.6999999999999998E-2</v>
      </c>
      <c r="J13" s="9">
        <f t="shared" si="0"/>
        <v>23128</v>
      </c>
      <c r="L13" s="11">
        <v>21253</v>
      </c>
      <c r="N13" s="203">
        <f t="shared" si="1"/>
        <v>1875</v>
      </c>
    </row>
    <row r="14" spans="1:14" s="11" customFormat="1" ht="22.15" customHeight="1" x14ac:dyDescent="0.25">
      <c r="A14" s="62">
        <v>32</v>
      </c>
      <c r="B14" s="4" t="s">
        <v>77</v>
      </c>
      <c r="C14" s="6" t="s">
        <v>78</v>
      </c>
      <c r="D14" s="7" t="s">
        <v>79</v>
      </c>
      <c r="E14" s="1">
        <v>44713</v>
      </c>
      <c r="F14" s="8">
        <v>8489266</v>
      </c>
      <c r="G14" s="150">
        <f>20000000-SUM(G11:G13)</f>
        <v>8370000</v>
      </c>
      <c r="H14" s="2">
        <v>184</v>
      </c>
      <c r="I14" s="145">
        <v>3.6999999999999998E-2</v>
      </c>
      <c r="J14" s="9">
        <f t="shared" si="0"/>
        <v>78058</v>
      </c>
      <c r="L14" s="11">
        <v>78058</v>
      </c>
      <c r="N14" s="203">
        <f t="shared" si="1"/>
        <v>0</v>
      </c>
    </row>
    <row r="15" spans="1:14" s="11" customFormat="1" ht="22.15" customHeight="1" x14ac:dyDescent="0.25">
      <c r="A15" s="62">
        <v>33</v>
      </c>
      <c r="B15" s="4" t="s">
        <v>64</v>
      </c>
      <c r="C15" s="6" t="s">
        <v>87</v>
      </c>
      <c r="D15" s="7" t="s">
        <v>88</v>
      </c>
      <c r="E15" s="1">
        <v>44603</v>
      </c>
      <c r="F15" s="8">
        <v>4000000</v>
      </c>
      <c r="G15" s="8">
        <v>4000000</v>
      </c>
      <c r="H15" s="2">
        <v>184</v>
      </c>
      <c r="I15" s="145">
        <v>4.4499999999999998E-2</v>
      </c>
      <c r="J15" s="9">
        <f t="shared" si="0"/>
        <v>44865</v>
      </c>
      <c r="K15" s="38"/>
      <c r="L15" s="11">
        <v>37304</v>
      </c>
      <c r="M15" s="38"/>
      <c r="N15" s="203">
        <f t="shared" si="1"/>
        <v>7561</v>
      </c>
    </row>
    <row r="16" spans="1:14" s="11" customFormat="1" x14ac:dyDescent="0.25">
      <c r="A16" s="3">
        <v>33</v>
      </c>
      <c r="B16" s="4" t="s">
        <v>64</v>
      </c>
      <c r="C16" s="6" t="s">
        <v>87</v>
      </c>
      <c r="D16" s="7" t="s">
        <v>91</v>
      </c>
      <c r="E16" s="1">
        <v>44713</v>
      </c>
      <c r="F16" s="8">
        <v>3000000</v>
      </c>
      <c r="G16" s="8">
        <v>3000000</v>
      </c>
      <c r="H16" s="2">
        <v>184</v>
      </c>
      <c r="I16" s="145">
        <v>3.6999999999999998E-2</v>
      </c>
      <c r="J16" s="9">
        <f t="shared" si="0"/>
        <v>27978</v>
      </c>
      <c r="K16" s="38"/>
      <c r="L16" s="11">
        <v>27978</v>
      </c>
      <c r="M16" s="38"/>
      <c r="N16" s="203">
        <f t="shared" si="1"/>
        <v>0</v>
      </c>
    </row>
    <row r="17" spans="1:14" s="11" customFormat="1" ht="21.75" customHeight="1" x14ac:dyDescent="0.25">
      <c r="A17" s="62">
        <v>34</v>
      </c>
      <c r="B17" s="4" t="s">
        <v>92</v>
      </c>
      <c r="C17" s="6" t="s">
        <v>93</v>
      </c>
      <c r="D17" s="7" t="s">
        <v>94</v>
      </c>
      <c r="E17" s="1">
        <v>44565</v>
      </c>
      <c r="F17" s="8">
        <v>22000000</v>
      </c>
      <c r="G17" s="150">
        <v>20000000</v>
      </c>
      <c r="H17" s="2">
        <v>184</v>
      </c>
      <c r="I17" s="145">
        <v>3.6999999999999998E-2</v>
      </c>
      <c r="J17" s="9">
        <f t="shared" si="0"/>
        <v>186520</v>
      </c>
      <c r="K17" s="38"/>
      <c r="L17" s="11">
        <v>186520</v>
      </c>
      <c r="M17" s="38"/>
      <c r="N17" s="203">
        <f t="shared" si="1"/>
        <v>0</v>
      </c>
    </row>
    <row r="18" spans="1:14" s="11" customFormat="1" ht="22.15" customHeight="1" x14ac:dyDescent="0.25">
      <c r="A18" s="62">
        <v>35</v>
      </c>
      <c r="B18" s="4" t="s">
        <v>101</v>
      </c>
      <c r="C18" s="6" t="s">
        <v>102</v>
      </c>
      <c r="D18" s="7" t="s">
        <v>103</v>
      </c>
      <c r="E18" s="1">
        <v>44812</v>
      </c>
      <c r="F18" s="8">
        <v>6000000</v>
      </c>
      <c r="G18" s="150">
        <v>6000000</v>
      </c>
      <c r="H18" s="2">
        <v>115</v>
      </c>
      <c r="I18" s="145">
        <v>3.6999999999999998E-2</v>
      </c>
      <c r="J18" s="9">
        <f t="shared" si="0"/>
        <v>34972</v>
      </c>
      <c r="K18" s="38"/>
      <c r="L18" s="11">
        <v>34972</v>
      </c>
      <c r="M18" s="38"/>
      <c r="N18" s="203">
        <f t="shared" si="1"/>
        <v>0</v>
      </c>
    </row>
    <row r="19" spans="1:14" s="11" customFormat="1" ht="22.15" customHeight="1" x14ac:dyDescent="0.25">
      <c r="A19" s="62">
        <v>35</v>
      </c>
      <c r="B19" s="4" t="s">
        <v>101</v>
      </c>
      <c r="C19" s="6" t="s">
        <v>102</v>
      </c>
      <c r="D19" s="7" t="s">
        <v>103</v>
      </c>
      <c r="E19" s="1">
        <v>44896</v>
      </c>
      <c r="F19" s="8">
        <v>3800000</v>
      </c>
      <c r="G19" s="150">
        <v>3800000</v>
      </c>
      <c r="H19" s="2">
        <v>31</v>
      </c>
      <c r="I19" s="145">
        <v>3.6999999999999998E-2</v>
      </c>
      <c r="J19" s="9">
        <f t="shared" si="0"/>
        <v>5970</v>
      </c>
      <c r="K19" s="38"/>
      <c r="L19" s="11">
        <v>5970</v>
      </c>
      <c r="M19" s="38"/>
      <c r="N19" s="203">
        <f t="shared" si="1"/>
        <v>0</v>
      </c>
    </row>
    <row r="20" spans="1:14" s="11" customFormat="1" ht="22.15" customHeight="1" x14ac:dyDescent="0.25">
      <c r="A20" s="62">
        <v>36</v>
      </c>
      <c r="B20" s="4" t="s">
        <v>109</v>
      </c>
      <c r="C20" s="6" t="s">
        <v>110</v>
      </c>
      <c r="D20" s="7" t="s">
        <v>111</v>
      </c>
      <c r="E20" s="1">
        <v>44642</v>
      </c>
      <c r="F20" s="8">
        <v>519000</v>
      </c>
      <c r="G20" s="150">
        <v>519000</v>
      </c>
      <c r="H20" s="2">
        <v>285</v>
      </c>
      <c r="I20" s="145">
        <v>3.6999999999999998E-2</v>
      </c>
      <c r="J20" s="9">
        <f t="shared" si="0"/>
        <v>7497</v>
      </c>
      <c r="K20" s="38"/>
      <c r="L20" s="11">
        <v>7497</v>
      </c>
      <c r="M20" s="38"/>
      <c r="N20" s="203">
        <f t="shared" si="1"/>
        <v>0</v>
      </c>
    </row>
    <row r="21" spans="1:14" s="11" customFormat="1" ht="22.15" customHeight="1" x14ac:dyDescent="0.25">
      <c r="A21" s="62">
        <v>36</v>
      </c>
      <c r="B21" s="4" t="s">
        <v>109</v>
      </c>
      <c r="C21" s="6" t="s">
        <v>110</v>
      </c>
      <c r="D21" s="7" t="s">
        <v>111</v>
      </c>
      <c r="E21" s="1">
        <v>44644</v>
      </c>
      <c r="F21" s="8">
        <v>900000</v>
      </c>
      <c r="G21" s="150">
        <v>900000</v>
      </c>
      <c r="H21" s="2">
        <v>283</v>
      </c>
      <c r="I21" s="145">
        <v>3.6999999999999998E-2</v>
      </c>
      <c r="J21" s="9">
        <f t="shared" si="0"/>
        <v>12909</v>
      </c>
      <c r="K21" s="38"/>
      <c r="L21" s="11">
        <v>12909</v>
      </c>
      <c r="M21" s="38"/>
      <c r="N21" s="203">
        <f t="shared" si="1"/>
        <v>0</v>
      </c>
    </row>
    <row r="22" spans="1:14" s="11" customFormat="1" ht="22.15" customHeight="1" x14ac:dyDescent="0.25">
      <c r="A22" s="62">
        <v>36</v>
      </c>
      <c r="B22" s="4" t="s">
        <v>109</v>
      </c>
      <c r="C22" s="6" t="s">
        <v>110</v>
      </c>
      <c r="D22" s="7" t="s">
        <v>111</v>
      </c>
      <c r="E22" s="1">
        <v>44658</v>
      </c>
      <c r="F22" s="8">
        <v>81000</v>
      </c>
      <c r="G22" s="150">
        <v>81000</v>
      </c>
      <c r="H22" s="2">
        <v>269</v>
      </c>
      <c r="I22" s="145">
        <v>3.6999999999999998E-2</v>
      </c>
      <c r="J22" s="9">
        <f t="shared" si="0"/>
        <v>1104</v>
      </c>
      <c r="K22" s="38"/>
      <c r="L22" s="11">
        <v>1104</v>
      </c>
      <c r="M22" s="38"/>
      <c r="N22" s="203">
        <f t="shared" si="1"/>
        <v>0</v>
      </c>
    </row>
    <row r="23" spans="1:14" s="11" customFormat="1" ht="22.15" customHeight="1" x14ac:dyDescent="0.25">
      <c r="A23" s="62">
        <v>36</v>
      </c>
      <c r="B23" s="4" t="s">
        <v>109</v>
      </c>
      <c r="C23" s="6" t="s">
        <v>110</v>
      </c>
      <c r="D23" s="7" t="s">
        <v>111</v>
      </c>
      <c r="E23" s="1">
        <v>44658</v>
      </c>
      <c r="F23" s="8">
        <v>1500000</v>
      </c>
      <c r="G23" s="150">
        <v>1500000</v>
      </c>
      <c r="H23" s="2">
        <v>269</v>
      </c>
      <c r="I23" s="145">
        <v>3.6999999999999998E-2</v>
      </c>
      <c r="J23" s="9">
        <f t="shared" si="0"/>
        <v>20451</v>
      </c>
      <c r="K23" s="38"/>
      <c r="L23" s="11">
        <v>20451</v>
      </c>
      <c r="M23" s="38"/>
      <c r="N23" s="203">
        <f t="shared" si="1"/>
        <v>0</v>
      </c>
    </row>
    <row r="24" spans="1:14" s="11" customFormat="1" ht="22.15" customHeight="1" x14ac:dyDescent="0.25">
      <c r="A24" s="62">
        <v>36</v>
      </c>
      <c r="B24" s="4" t="s">
        <v>109</v>
      </c>
      <c r="C24" s="6" t="s">
        <v>110</v>
      </c>
      <c r="D24" s="7" t="s">
        <v>111</v>
      </c>
      <c r="E24" s="1">
        <v>44658</v>
      </c>
      <c r="F24" s="8">
        <v>219000</v>
      </c>
      <c r="G24" s="150">
        <v>219000</v>
      </c>
      <c r="H24" s="2">
        <v>269</v>
      </c>
      <c r="I24" s="145">
        <v>3.6999999999999998E-2</v>
      </c>
      <c r="J24" s="9">
        <f t="shared" si="0"/>
        <v>2985</v>
      </c>
      <c r="K24" s="38"/>
      <c r="L24" s="11">
        <v>2985</v>
      </c>
      <c r="M24" s="38"/>
      <c r="N24" s="203">
        <f t="shared" si="1"/>
        <v>0</v>
      </c>
    </row>
    <row r="25" spans="1:14" s="11" customFormat="1" ht="22.15" customHeight="1" x14ac:dyDescent="0.25">
      <c r="A25" s="62">
        <v>36</v>
      </c>
      <c r="B25" s="4" t="s">
        <v>109</v>
      </c>
      <c r="C25" s="6" t="s">
        <v>110</v>
      </c>
      <c r="D25" s="7" t="s">
        <v>111</v>
      </c>
      <c r="E25" s="1">
        <v>44679</v>
      </c>
      <c r="F25" s="8">
        <v>519000</v>
      </c>
      <c r="G25" s="150">
        <v>519000</v>
      </c>
      <c r="H25" s="2">
        <v>248</v>
      </c>
      <c r="I25" s="145">
        <v>3.6999999999999998E-2</v>
      </c>
      <c r="J25" s="9">
        <f t="shared" si="0"/>
        <v>6523</v>
      </c>
      <c r="K25" s="38"/>
      <c r="L25" s="11">
        <v>6523</v>
      </c>
      <c r="M25" s="38"/>
      <c r="N25" s="203">
        <f t="shared" si="1"/>
        <v>0</v>
      </c>
    </row>
    <row r="26" spans="1:14" s="11" customFormat="1" ht="22.15" customHeight="1" x14ac:dyDescent="0.25">
      <c r="A26" s="62">
        <v>36</v>
      </c>
      <c r="B26" s="4" t="s">
        <v>109</v>
      </c>
      <c r="C26" s="6" t="s">
        <v>110</v>
      </c>
      <c r="D26" s="7" t="s">
        <v>111</v>
      </c>
      <c r="E26" s="1">
        <v>44698</v>
      </c>
      <c r="F26" s="8">
        <v>2762000</v>
      </c>
      <c r="G26" s="150">
        <v>2762000</v>
      </c>
      <c r="H26" s="2">
        <v>229</v>
      </c>
      <c r="I26" s="145">
        <v>3.6999999999999998E-2</v>
      </c>
      <c r="J26" s="9">
        <f t="shared" si="0"/>
        <v>32058</v>
      </c>
      <c r="K26" s="38"/>
      <c r="L26" s="11">
        <v>32058</v>
      </c>
      <c r="M26" s="38"/>
      <c r="N26" s="203">
        <f t="shared" si="1"/>
        <v>0</v>
      </c>
    </row>
    <row r="27" spans="1:14" s="11" customFormat="1" ht="22.15" customHeight="1" x14ac:dyDescent="0.25">
      <c r="A27" s="62">
        <v>36</v>
      </c>
      <c r="B27" s="4" t="s">
        <v>109</v>
      </c>
      <c r="C27" s="6" t="s">
        <v>110</v>
      </c>
      <c r="D27" s="7" t="s">
        <v>111</v>
      </c>
      <c r="E27" s="1">
        <v>44698</v>
      </c>
      <c r="F27" s="8">
        <v>2238000</v>
      </c>
      <c r="G27" s="150">
        <v>2238000</v>
      </c>
      <c r="H27" s="2">
        <v>229</v>
      </c>
      <c r="I27" s="145">
        <v>3.6999999999999998E-2</v>
      </c>
      <c r="J27" s="9">
        <f t="shared" si="0"/>
        <v>25976</v>
      </c>
      <c r="K27" s="38"/>
      <c r="L27" s="11">
        <v>25976</v>
      </c>
      <c r="M27" s="38"/>
      <c r="N27" s="203">
        <f t="shared" si="1"/>
        <v>0</v>
      </c>
    </row>
    <row r="28" spans="1:14" s="11" customFormat="1" ht="22.15" customHeight="1" x14ac:dyDescent="0.25">
      <c r="A28" s="62">
        <v>36</v>
      </c>
      <c r="B28" s="4" t="s">
        <v>109</v>
      </c>
      <c r="C28" s="6" t="s">
        <v>110</v>
      </c>
      <c r="D28" s="7" t="s">
        <v>111</v>
      </c>
      <c r="E28" s="1">
        <v>44711</v>
      </c>
      <c r="F28" s="8">
        <v>519000</v>
      </c>
      <c r="G28" s="150">
        <v>519000</v>
      </c>
      <c r="H28" s="2">
        <v>216</v>
      </c>
      <c r="I28" s="145">
        <v>3.6999999999999998E-2</v>
      </c>
      <c r="J28" s="9">
        <f t="shared" si="0"/>
        <v>5681</v>
      </c>
      <c r="K28" s="38"/>
      <c r="L28" s="11">
        <v>5681</v>
      </c>
      <c r="M28" s="38"/>
      <c r="N28" s="203">
        <f t="shared" si="1"/>
        <v>0</v>
      </c>
    </row>
    <row r="29" spans="1:14" s="11" customFormat="1" ht="22.15" customHeight="1" x14ac:dyDescent="0.25">
      <c r="A29" s="62">
        <v>36</v>
      </c>
      <c r="B29" s="4" t="s">
        <v>109</v>
      </c>
      <c r="C29" s="6" t="s">
        <v>110</v>
      </c>
      <c r="D29" s="7" t="s">
        <v>111</v>
      </c>
      <c r="E29" s="1">
        <v>44713</v>
      </c>
      <c r="F29" s="8">
        <v>743000</v>
      </c>
      <c r="G29" s="150">
        <v>743000</v>
      </c>
      <c r="H29" s="2">
        <v>214</v>
      </c>
      <c r="I29" s="145">
        <v>3.6999999999999998E-2</v>
      </c>
      <c r="J29" s="9">
        <f t="shared" si="0"/>
        <v>8059</v>
      </c>
      <c r="K29" s="38"/>
      <c r="L29" s="11">
        <v>8059</v>
      </c>
      <c r="M29" s="38"/>
      <c r="N29" s="203">
        <f t="shared" si="1"/>
        <v>0</v>
      </c>
    </row>
    <row r="30" spans="1:14" s="11" customFormat="1" ht="22.15" customHeight="1" x14ac:dyDescent="0.25">
      <c r="A30" s="62">
        <v>36</v>
      </c>
      <c r="B30" s="4" t="s">
        <v>109</v>
      </c>
      <c r="C30" s="6" t="s">
        <v>110</v>
      </c>
      <c r="D30" s="7" t="s">
        <v>111</v>
      </c>
      <c r="E30" s="1">
        <v>44713</v>
      </c>
      <c r="F30" s="8">
        <v>257000</v>
      </c>
      <c r="G30" s="150">
        <v>257000</v>
      </c>
      <c r="H30" s="2">
        <v>214</v>
      </c>
      <c r="I30" s="145">
        <v>3.6999999999999998E-2</v>
      </c>
      <c r="J30" s="9">
        <f t="shared" si="0"/>
        <v>2787</v>
      </c>
      <c r="K30" s="38"/>
      <c r="L30" s="11">
        <v>2787</v>
      </c>
      <c r="M30" s="38"/>
      <c r="N30" s="203">
        <f t="shared" si="1"/>
        <v>0</v>
      </c>
    </row>
    <row r="31" spans="1:14" s="11" customFormat="1" ht="22.15" customHeight="1" x14ac:dyDescent="0.25">
      <c r="A31" s="62">
        <v>36</v>
      </c>
      <c r="B31" s="4" t="s">
        <v>109</v>
      </c>
      <c r="C31" s="6" t="s">
        <v>110</v>
      </c>
      <c r="D31" s="7" t="s">
        <v>111</v>
      </c>
      <c r="E31" s="1">
        <v>44742</v>
      </c>
      <c r="F31" s="8">
        <v>519000</v>
      </c>
      <c r="G31" s="150">
        <v>519000</v>
      </c>
      <c r="H31" s="2">
        <v>185</v>
      </c>
      <c r="I31" s="145">
        <v>3.6999999999999998E-2</v>
      </c>
      <c r="J31" s="9">
        <f t="shared" si="0"/>
        <v>4866</v>
      </c>
      <c r="K31" s="38"/>
      <c r="L31" s="11">
        <v>4866</v>
      </c>
      <c r="M31" s="38"/>
      <c r="N31" s="203">
        <f t="shared" si="1"/>
        <v>0</v>
      </c>
    </row>
    <row r="32" spans="1:14" s="11" customFormat="1" ht="22.15" customHeight="1" x14ac:dyDescent="0.25">
      <c r="A32" s="62">
        <v>36</v>
      </c>
      <c r="B32" s="4" t="s">
        <v>109</v>
      </c>
      <c r="C32" s="6" t="s">
        <v>110</v>
      </c>
      <c r="D32" s="7" t="s">
        <v>111</v>
      </c>
      <c r="E32" s="1">
        <v>44874</v>
      </c>
      <c r="F32" s="8">
        <v>817500</v>
      </c>
      <c r="G32" s="150">
        <v>817500</v>
      </c>
      <c r="H32" s="2">
        <v>53</v>
      </c>
      <c r="I32" s="145">
        <v>3.6999999999999998E-2</v>
      </c>
      <c r="J32" s="9">
        <f t="shared" si="0"/>
        <v>2196</v>
      </c>
      <c r="K32" s="38"/>
      <c r="L32" s="11">
        <v>2196</v>
      </c>
      <c r="M32" s="38"/>
      <c r="N32" s="203">
        <f t="shared" si="1"/>
        <v>0</v>
      </c>
    </row>
    <row r="33" spans="1:14" s="11" customFormat="1" ht="22.15" customHeight="1" x14ac:dyDescent="0.25">
      <c r="A33" s="62">
        <v>36</v>
      </c>
      <c r="B33" s="4" t="s">
        <v>109</v>
      </c>
      <c r="C33" s="6" t="s">
        <v>110</v>
      </c>
      <c r="D33" s="7" t="s">
        <v>111</v>
      </c>
      <c r="E33" s="1">
        <v>44890</v>
      </c>
      <c r="F33" s="8">
        <v>3406500</v>
      </c>
      <c r="G33" s="150">
        <v>3406500</v>
      </c>
      <c r="H33" s="2">
        <v>37</v>
      </c>
      <c r="I33" s="145">
        <v>3.6999999999999998E-2</v>
      </c>
      <c r="J33" s="9">
        <f t="shared" si="0"/>
        <v>6388</v>
      </c>
      <c r="K33" s="38"/>
      <c r="L33" s="11">
        <v>6388</v>
      </c>
      <c r="M33" s="38"/>
      <c r="N33" s="203">
        <f t="shared" si="1"/>
        <v>0</v>
      </c>
    </row>
    <row r="34" spans="1:14" s="11" customFormat="1" ht="22.15" customHeight="1" x14ac:dyDescent="0.25">
      <c r="A34" s="62">
        <v>36</v>
      </c>
      <c r="B34" s="4" t="s">
        <v>109</v>
      </c>
      <c r="C34" s="6" t="s">
        <v>110</v>
      </c>
      <c r="D34" s="7" t="s">
        <v>111</v>
      </c>
      <c r="E34" s="1">
        <v>44890</v>
      </c>
      <c r="F34" s="8">
        <v>1593500</v>
      </c>
      <c r="G34" s="150">
        <v>1593500</v>
      </c>
      <c r="H34" s="2">
        <v>37</v>
      </c>
      <c r="I34" s="145">
        <v>3.6999999999999998E-2</v>
      </c>
      <c r="J34" s="9">
        <f t="shared" si="0"/>
        <v>2988</v>
      </c>
      <c r="K34" s="38"/>
      <c r="L34" s="11">
        <v>2988</v>
      </c>
      <c r="M34" s="38"/>
      <c r="N34" s="203">
        <f t="shared" si="1"/>
        <v>0</v>
      </c>
    </row>
    <row r="35" spans="1:14" s="11" customFormat="1" ht="22.15" customHeight="1" x14ac:dyDescent="0.25">
      <c r="A35" s="3">
        <v>37</v>
      </c>
      <c r="B35" s="4" t="s">
        <v>118</v>
      </c>
      <c r="C35" s="6" t="s">
        <v>119</v>
      </c>
      <c r="D35" s="7" t="s">
        <v>120</v>
      </c>
      <c r="E35" s="1">
        <v>44761</v>
      </c>
      <c r="F35" s="8">
        <v>1270000</v>
      </c>
      <c r="G35" s="150">
        <v>1270000</v>
      </c>
      <c r="H35" s="2">
        <v>166</v>
      </c>
      <c r="I35" s="145">
        <v>3.6999999999999998E-2</v>
      </c>
      <c r="J35" s="9">
        <f t="shared" si="0"/>
        <v>10685</v>
      </c>
      <c r="K35" s="38"/>
      <c r="L35" s="11">
        <v>10685</v>
      </c>
      <c r="M35" s="38"/>
      <c r="N35" s="203">
        <f t="shared" si="1"/>
        <v>0</v>
      </c>
    </row>
    <row r="36" spans="1:14" s="11" customFormat="1" ht="22.15" customHeight="1" x14ac:dyDescent="0.25">
      <c r="A36" s="3">
        <v>37</v>
      </c>
      <c r="B36" s="4" t="s">
        <v>118</v>
      </c>
      <c r="C36" s="6" t="s">
        <v>119</v>
      </c>
      <c r="D36" s="7" t="s">
        <v>120</v>
      </c>
      <c r="E36" s="1">
        <v>44769</v>
      </c>
      <c r="F36" s="8">
        <v>12980000</v>
      </c>
      <c r="G36" s="150">
        <v>12980000</v>
      </c>
      <c r="H36" s="2">
        <v>158</v>
      </c>
      <c r="I36" s="145">
        <v>3.6999999999999998E-2</v>
      </c>
      <c r="J36" s="9">
        <f t="shared" si="0"/>
        <v>103946</v>
      </c>
      <c r="K36" s="38"/>
      <c r="L36" s="11">
        <v>103946</v>
      </c>
      <c r="M36" s="38"/>
      <c r="N36" s="203">
        <f t="shared" si="1"/>
        <v>0</v>
      </c>
    </row>
    <row r="37" spans="1:14" s="11" customFormat="1" ht="22.15" customHeight="1" x14ac:dyDescent="0.25">
      <c r="A37" s="3">
        <v>37</v>
      </c>
      <c r="B37" s="4" t="s">
        <v>118</v>
      </c>
      <c r="C37" s="6" t="s">
        <v>119</v>
      </c>
      <c r="D37" s="7" t="s">
        <v>120</v>
      </c>
      <c r="E37" s="1">
        <v>44778</v>
      </c>
      <c r="F37" s="8">
        <v>2250000</v>
      </c>
      <c r="G37" s="8">
        <v>2250000</v>
      </c>
      <c r="H37" s="2">
        <v>149</v>
      </c>
      <c r="I37" s="145">
        <v>3.6999999999999998E-2</v>
      </c>
      <c r="J37" s="9">
        <f t="shared" si="0"/>
        <v>16992</v>
      </c>
      <c r="K37" s="38"/>
      <c r="L37" s="11">
        <v>16532</v>
      </c>
      <c r="M37" s="38"/>
      <c r="N37" s="203">
        <f t="shared" si="1"/>
        <v>460</v>
      </c>
    </row>
    <row r="38" spans="1:14" s="11" customFormat="1" ht="22.15" customHeight="1" x14ac:dyDescent="0.25">
      <c r="A38" s="3">
        <v>37</v>
      </c>
      <c r="B38" s="4" t="s">
        <v>118</v>
      </c>
      <c r="C38" s="6" t="s">
        <v>119</v>
      </c>
      <c r="D38" s="7" t="s">
        <v>124</v>
      </c>
      <c r="E38" s="1">
        <v>44922</v>
      </c>
      <c r="F38" s="8">
        <v>17500000</v>
      </c>
      <c r="G38" s="150">
        <f>20000000-G37-G36-G35</f>
        <v>3500000</v>
      </c>
      <c r="H38" s="2">
        <v>5</v>
      </c>
      <c r="I38" s="145">
        <v>4.4499999999999998E-2</v>
      </c>
      <c r="J38" s="9">
        <f t="shared" si="0"/>
        <v>1066</v>
      </c>
      <c r="K38" s="38"/>
      <c r="L38" s="11">
        <v>886</v>
      </c>
      <c r="M38" s="38"/>
      <c r="N38" s="203">
        <f t="shared" si="1"/>
        <v>180</v>
      </c>
    </row>
    <row r="39" spans="1:14" s="11" customFormat="1" ht="22.15" customHeight="1" x14ac:dyDescent="0.25">
      <c r="A39" s="3">
        <v>38</v>
      </c>
      <c r="B39" s="4" t="s">
        <v>125</v>
      </c>
      <c r="C39" s="6" t="s">
        <v>119</v>
      </c>
      <c r="D39" s="7" t="s">
        <v>126</v>
      </c>
      <c r="E39" s="1">
        <v>44832</v>
      </c>
      <c r="F39" s="8">
        <v>4000000</v>
      </c>
      <c r="G39" s="150">
        <v>4000000</v>
      </c>
      <c r="H39" s="2">
        <v>95</v>
      </c>
      <c r="I39" s="145">
        <v>3.6999999999999998E-2</v>
      </c>
      <c r="J39" s="9">
        <f t="shared" si="0"/>
        <v>19260</v>
      </c>
      <c r="K39" s="38"/>
      <c r="L39" s="11">
        <v>19260</v>
      </c>
      <c r="M39" s="38"/>
      <c r="N39" s="203">
        <f t="shared" si="1"/>
        <v>0</v>
      </c>
    </row>
    <row r="40" spans="1:14" s="11" customFormat="1" ht="22.15" customHeight="1" x14ac:dyDescent="0.25">
      <c r="A40" s="3">
        <v>38</v>
      </c>
      <c r="B40" s="4" t="s">
        <v>125</v>
      </c>
      <c r="C40" s="6" t="s">
        <v>119</v>
      </c>
      <c r="D40" s="7" t="s">
        <v>126</v>
      </c>
      <c r="E40" s="1">
        <v>44832</v>
      </c>
      <c r="F40" s="8">
        <v>3000000</v>
      </c>
      <c r="G40" s="150">
        <v>3000000</v>
      </c>
      <c r="H40" s="2">
        <v>95</v>
      </c>
      <c r="I40" s="145">
        <v>3.6999999999999998E-2</v>
      </c>
      <c r="J40" s="9">
        <f t="shared" si="0"/>
        <v>14445</v>
      </c>
      <c r="K40" s="38"/>
      <c r="L40" s="11">
        <v>14445</v>
      </c>
      <c r="M40" s="38"/>
      <c r="N40" s="203">
        <f t="shared" si="1"/>
        <v>0</v>
      </c>
    </row>
    <row r="41" spans="1:14" s="11" customFormat="1" ht="22.15" customHeight="1" x14ac:dyDescent="0.25">
      <c r="A41" s="3">
        <v>38</v>
      </c>
      <c r="B41" s="4" t="s">
        <v>125</v>
      </c>
      <c r="C41" s="6" t="s">
        <v>119</v>
      </c>
      <c r="D41" s="7" t="s">
        <v>126</v>
      </c>
      <c r="E41" s="1">
        <v>44832</v>
      </c>
      <c r="F41" s="8">
        <v>2000000</v>
      </c>
      <c r="G41" s="150">
        <v>2000000</v>
      </c>
      <c r="H41" s="2">
        <v>95</v>
      </c>
      <c r="I41" s="145">
        <v>3.6999999999999998E-2</v>
      </c>
      <c r="J41" s="9">
        <f t="shared" si="0"/>
        <v>9630</v>
      </c>
      <c r="K41" s="38"/>
      <c r="L41" s="11">
        <v>9630</v>
      </c>
      <c r="M41" s="38"/>
      <c r="N41" s="203">
        <f t="shared" si="1"/>
        <v>0</v>
      </c>
    </row>
    <row r="42" spans="1:14" s="11" customFormat="1" ht="22.15" customHeight="1" x14ac:dyDescent="0.25">
      <c r="A42" s="3">
        <v>38</v>
      </c>
      <c r="B42" s="4" t="s">
        <v>125</v>
      </c>
      <c r="C42" s="6" t="s">
        <v>119</v>
      </c>
      <c r="D42" s="7" t="s">
        <v>131</v>
      </c>
      <c r="E42" s="1">
        <v>44865</v>
      </c>
      <c r="F42" s="8">
        <v>4900000</v>
      </c>
      <c r="G42" s="150">
        <v>4900000</v>
      </c>
      <c r="H42" s="2">
        <v>62</v>
      </c>
      <c r="I42" s="145">
        <v>3.6999999999999998E-2</v>
      </c>
      <c r="J42" s="9">
        <f t="shared" si="0"/>
        <v>15398</v>
      </c>
      <c r="K42" s="38"/>
      <c r="L42" s="11">
        <v>15398</v>
      </c>
      <c r="M42" s="38"/>
      <c r="N42" s="203">
        <f t="shared" si="1"/>
        <v>0</v>
      </c>
    </row>
    <row r="43" spans="1:14" s="11" customFormat="1" ht="22.15" customHeight="1" x14ac:dyDescent="0.25">
      <c r="A43" s="3">
        <v>38</v>
      </c>
      <c r="B43" s="4" t="s">
        <v>125</v>
      </c>
      <c r="C43" s="6" t="s">
        <v>119</v>
      </c>
      <c r="D43" s="7" t="s">
        <v>131</v>
      </c>
      <c r="E43" s="1">
        <v>44896</v>
      </c>
      <c r="F43" s="8">
        <v>4900000</v>
      </c>
      <c r="G43" s="150">
        <v>4900000</v>
      </c>
      <c r="H43" s="2">
        <v>31</v>
      </c>
      <c r="I43" s="145">
        <v>3.6999999999999998E-2</v>
      </c>
      <c r="J43" s="9">
        <f t="shared" si="0"/>
        <v>7699</v>
      </c>
      <c r="K43" s="38"/>
      <c r="L43" s="11">
        <v>7282</v>
      </c>
      <c r="M43" s="38"/>
      <c r="N43" s="203">
        <f t="shared" si="1"/>
        <v>417</v>
      </c>
    </row>
    <row r="44" spans="1:14" s="11" customFormat="1" ht="22.15" customHeight="1" x14ac:dyDescent="0.25">
      <c r="A44" s="3">
        <v>39</v>
      </c>
      <c r="B44" s="4" t="s">
        <v>132</v>
      </c>
      <c r="C44" s="6" t="s">
        <v>133</v>
      </c>
      <c r="D44" s="7" t="s">
        <v>142</v>
      </c>
      <c r="E44" s="1">
        <v>44664</v>
      </c>
      <c r="F44" s="8">
        <v>17000000</v>
      </c>
      <c r="G44" s="8">
        <v>17000000</v>
      </c>
      <c r="H44" s="2">
        <v>143</v>
      </c>
      <c r="I44" s="145">
        <v>3.6999999999999998E-2</v>
      </c>
      <c r="J44" s="9">
        <f t="shared" si="0"/>
        <v>123215</v>
      </c>
      <c r="K44" s="38"/>
      <c r="L44" s="11">
        <v>123215</v>
      </c>
      <c r="M44" s="38"/>
      <c r="N44" s="203">
        <f t="shared" si="1"/>
        <v>0</v>
      </c>
    </row>
    <row r="45" spans="1:14" s="11" customFormat="1" ht="22.15" customHeight="1" x14ac:dyDescent="0.25">
      <c r="A45" s="3">
        <v>39</v>
      </c>
      <c r="B45" s="4" t="s">
        <v>132</v>
      </c>
      <c r="C45" s="6" t="s">
        <v>133</v>
      </c>
      <c r="D45" s="7" t="s">
        <v>143</v>
      </c>
      <c r="E45" s="1">
        <v>44736</v>
      </c>
      <c r="F45" s="8">
        <v>18890000</v>
      </c>
      <c r="G45" s="150">
        <v>3000000</v>
      </c>
      <c r="H45" s="2">
        <v>143</v>
      </c>
      <c r="I45" s="145">
        <v>3.6999999999999998E-2</v>
      </c>
      <c r="J45" s="9">
        <f t="shared" si="0"/>
        <v>21743</v>
      </c>
      <c r="K45" s="38"/>
      <c r="L45" s="11">
        <v>21743</v>
      </c>
      <c r="M45" s="38"/>
      <c r="N45" s="203">
        <f t="shared" si="1"/>
        <v>0</v>
      </c>
    </row>
    <row r="46" spans="1:14" s="11" customFormat="1" ht="22.15" customHeight="1" x14ac:dyDescent="0.25">
      <c r="A46" s="3">
        <v>39</v>
      </c>
      <c r="B46" s="4" t="s">
        <v>144</v>
      </c>
      <c r="C46" s="6" t="s">
        <v>133</v>
      </c>
      <c r="D46" s="7" t="s">
        <v>145</v>
      </c>
      <c r="E46" s="1">
        <v>44923</v>
      </c>
      <c r="F46" s="8">
        <v>10000000</v>
      </c>
      <c r="G46" s="150">
        <v>20000000</v>
      </c>
      <c r="H46" s="2">
        <v>4</v>
      </c>
      <c r="I46" s="145">
        <v>3.6999999999999998E-2</v>
      </c>
      <c r="J46" s="9">
        <f t="shared" si="0"/>
        <v>4054</v>
      </c>
      <c r="K46" s="38"/>
      <c r="L46" s="11">
        <v>4054</v>
      </c>
      <c r="M46" s="38"/>
      <c r="N46" s="203">
        <f t="shared" si="1"/>
        <v>0</v>
      </c>
    </row>
    <row r="47" spans="1:14" ht="27.75" customHeight="1" x14ac:dyDescent="0.25">
      <c r="J47" s="159">
        <f>SUM(J2:J46)</f>
        <v>1214505</v>
      </c>
    </row>
  </sheetData>
  <autoFilter ref="A1:M46"/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C54" zoomScaleNormal="100" workbookViewId="0">
      <selection activeCell="L75" sqref="L75"/>
    </sheetView>
  </sheetViews>
  <sheetFormatPr defaultColWidth="9" defaultRowHeight="14" x14ac:dyDescent="0.25"/>
  <cols>
    <col min="1" max="1" width="3.7265625" style="161" customWidth="1"/>
    <col min="2" max="2" width="38" style="199" customWidth="1"/>
    <col min="3" max="3" width="42.453125" style="161" customWidth="1"/>
    <col min="4" max="4" width="8.36328125" style="161" hidden="1" customWidth="1"/>
    <col min="5" max="5" width="9" style="161" hidden="1" customWidth="1"/>
    <col min="6" max="6" width="20" style="161" customWidth="1"/>
    <col min="7" max="7" width="18.26953125" style="161" customWidth="1"/>
    <col min="8" max="8" width="15" style="161" bestFit="1" customWidth="1"/>
    <col min="9" max="9" width="16.08984375" style="178" bestFit="1" customWidth="1"/>
    <col min="10" max="10" width="19.453125" style="178" bestFit="1" customWidth="1"/>
    <col min="11" max="11" width="9" style="161" hidden="1" customWidth="1"/>
    <col min="12" max="12" width="22.90625" style="161" hidden="1" customWidth="1"/>
    <col min="13" max="14" width="9" style="161" hidden="1" customWidth="1"/>
    <col min="15" max="15" width="20.36328125" style="202" hidden="1" customWidth="1"/>
    <col min="16" max="16" width="13.90625" style="177" hidden="1" customWidth="1"/>
    <col min="17" max="17" width="15.90625" style="161" hidden="1" customWidth="1"/>
    <col min="18" max="20" width="13.90625" style="161" hidden="1" customWidth="1"/>
    <col min="21" max="21" width="9.6328125" style="161" hidden="1" customWidth="1"/>
    <col min="22" max="16384" width="9" style="161"/>
  </cols>
  <sheetData>
    <row r="1" spans="1:21" ht="32.15" customHeight="1" x14ac:dyDescent="0.25">
      <c r="A1" s="245" t="s">
        <v>397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160"/>
    </row>
    <row r="2" spans="1:21" s="168" customFormat="1" ht="36" x14ac:dyDescent="0.25">
      <c r="A2" s="162" t="s">
        <v>398</v>
      </c>
      <c r="B2" s="162" t="s">
        <v>399</v>
      </c>
      <c r="C2" s="162" t="s">
        <v>400</v>
      </c>
      <c r="D2" s="162" t="s">
        <v>401</v>
      </c>
      <c r="E2" s="162" t="s">
        <v>1</v>
      </c>
      <c r="F2" s="163" t="s">
        <v>402</v>
      </c>
      <c r="G2" s="163" t="s">
        <v>403</v>
      </c>
      <c r="H2" s="163" t="s">
        <v>404</v>
      </c>
      <c r="I2" s="164" t="s">
        <v>405</v>
      </c>
      <c r="J2" s="165" t="s">
        <v>406</v>
      </c>
      <c r="K2" s="162" t="s">
        <v>407</v>
      </c>
      <c r="L2" s="162" t="s">
        <v>408</v>
      </c>
      <c r="M2" s="166" t="s">
        <v>409</v>
      </c>
      <c r="N2" s="162" t="s">
        <v>410</v>
      </c>
      <c r="O2" s="162" t="s">
        <v>411</v>
      </c>
      <c r="P2" s="167"/>
      <c r="T2" s="168" t="s">
        <v>412</v>
      </c>
      <c r="U2" s="168" t="s">
        <v>413</v>
      </c>
    </row>
    <row r="3" spans="1:21" ht="21.65" customHeight="1" x14ac:dyDescent="0.25">
      <c r="A3" s="169">
        <v>1</v>
      </c>
      <c r="B3" s="170" t="s">
        <v>417</v>
      </c>
      <c r="C3" s="171" t="s">
        <v>51</v>
      </c>
      <c r="D3" s="172"/>
      <c r="E3" s="172"/>
      <c r="F3" s="173">
        <f>'报告表格信用 (2)'!D3*'报告表格信用 (2)'!E3/365</f>
        <v>2520547.9452054794</v>
      </c>
      <c r="G3" s="173"/>
      <c r="H3" s="173">
        <f>I3-G3</f>
        <v>46630</v>
      </c>
      <c r="I3" s="174">
        <f>INT(F3*'报告表格信用 (2)'!F3*50%)</f>
        <v>46630</v>
      </c>
      <c r="J3" s="174" t="s">
        <v>415</v>
      </c>
      <c r="K3" s="169"/>
      <c r="L3" s="169"/>
      <c r="M3" s="169"/>
      <c r="N3" s="175"/>
      <c r="O3" s="176" t="s">
        <v>416</v>
      </c>
      <c r="Q3" s="178"/>
      <c r="R3" s="179"/>
      <c r="S3" s="178"/>
      <c r="T3" s="179"/>
      <c r="U3" s="179"/>
    </row>
    <row r="4" spans="1:21" s="189" customFormat="1" ht="21.65" customHeight="1" x14ac:dyDescent="0.25">
      <c r="A4" s="180">
        <v>2</v>
      </c>
      <c r="B4" s="181" t="s">
        <v>420</v>
      </c>
      <c r="C4" s="182" t="s">
        <v>439</v>
      </c>
      <c r="D4" s="183"/>
      <c r="E4" s="180"/>
      <c r="F4" s="173">
        <f>'报告表格信用 (2)'!D4*'报告表格信用 (2)'!E4/365</f>
        <v>2638356.1643835618</v>
      </c>
      <c r="G4" s="173"/>
      <c r="H4" s="173">
        <f t="shared" ref="H4:H66" si="0">I4-G4</f>
        <v>48809</v>
      </c>
      <c r="I4" s="174">
        <f>INT(F4*'报告表格信用 (2)'!F4*50%)</f>
        <v>48809</v>
      </c>
      <c r="J4" s="174" t="s">
        <v>415</v>
      </c>
      <c r="K4" s="180"/>
      <c r="L4" s="180"/>
      <c r="M4" s="180"/>
      <c r="N4" s="184"/>
      <c r="O4" s="185" t="s">
        <v>416</v>
      </c>
      <c r="P4" s="186"/>
      <c r="Q4" s="187"/>
      <c r="R4" s="188"/>
      <c r="S4" s="187"/>
      <c r="T4" s="188"/>
      <c r="U4" s="188"/>
    </row>
    <row r="5" spans="1:21" ht="21.65" customHeight="1" x14ac:dyDescent="0.25">
      <c r="A5" s="169">
        <v>3</v>
      </c>
      <c r="B5" s="170" t="s">
        <v>421</v>
      </c>
      <c r="C5" s="190" t="s">
        <v>182</v>
      </c>
      <c r="D5" s="172"/>
      <c r="E5" s="172"/>
      <c r="F5" s="173">
        <f>'报告表格信用 (2)'!D5*'报告表格信用 (2)'!E5/365</f>
        <v>3424657.5342465756</v>
      </c>
      <c r="G5" s="173"/>
      <c r="H5" s="173">
        <f t="shared" si="0"/>
        <v>63356</v>
      </c>
      <c r="I5" s="174">
        <f>INT(F5*'报告表格信用 (2)'!F5*50%)</f>
        <v>63356</v>
      </c>
      <c r="J5" s="174" t="s">
        <v>415</v>
      </c>
      <c r="K5" s="169"/>
      <c r="L5" s="169"/>
      <c r="M5" s="169"/>
      <c r="N5" s="175"/>
      <c r="O5" s="176" t="s">
        <v>416</v>
      </c>
      <c r="Q5" s="178"/>
      <c r="R5" s="179"/>
      <c r="S5" s="178"/>
      <c r="T5" s="179"/>
      <c r="U5" s="179"/>
    </row>
    <row r="6" spans="1:21" ht="21.65" customHeight="1" x14ac:dyDescent="0.25">
      <c r="A6" s="169">
        <v>4</v>
      </c>
      <c r="B6" s="170" t="s">
        <v>422</v>
      </c>
      <c r="C6" s="171" t="s">
        <v>440</v>
      </c>
      <c r="D6" s="172"/>
      <c r="E6" s="172"/>
      <c r="F6" s="173">
        <f>'报告表格信用 (2)'!D6*'报告表格信用 (2)'!E6/365</f>
        <v>5232876.7123287674</v>
      </c>
      <c r="G6" s="173"/>
      <c r="H6" s="173">
        <f t="shared" si="0"/>
        <v>83726</v>
      </c>
      <c r="I6" s="174">
        <f>INT(F6*'报告表格信用 (2)'!F6*50%)</f>
        <v>83726</v>
      </c>
      <c r="J6" s="174" t="s">
        <v>415</v>
      </c>
      <c r="K6" s="169"/>
      <c r="L6" s="169"/>
      <c r="M6" s="169"/>
      <c r="N6" s="175"/>
      <c r="O6" s="191"/>
      <c r="Q6" s="178"/>
      <c r="R6" s="179"/>
      <c r="S6" s="178"/>
      <c r="T6" s="179"/>
      <c r="U6" s="179"/>
    </row>
    <row r="7" spans="1:21" ht="21.65" customHeight="1" x14ac:dyDescent="0.25">
      <c r="A7" s="169">
        <v>5</v>
      </c>
      <c r="B7" s="170" t="s">
        <v>423</v>
      </c>
      <c r="C7" s="171" t="s">
        <v>30</v>
      </c>
      <c r="D7" s="172"/>
      <c r="E7" s="172"/>
      <c r="F7" s="173">
        <f>'报告表格信用 (2)'!D7*'报告表格信用 (2)'!E7/365</f>
        <v>4076712.3287671232</v>
      </c>
      <c r="G7" s="173"/>
      <c r="H7" s="173">
        <f t="shared" si="0"/>
        <v>75419</v>
      </c>
      <c r="I7" s="174">
        <f>INT(F7*'报告表格信用 (2)'!F7*50%)</f>
        <v>75419</v>
      </c>
      <c r="J7" s="174" t="s">
        <v>415</v>
      </c>
      <c r="K7" s="169"/>
      <c r="L7" s="169"/>
      <c r="M7" s="169"/>
      <c r="N7" s="175"/>
      <c r="O7" s="191"/>
      <c r="Q7" s="178"/>
      <c r="R7" s="179"/>
      <c r="S7" s="178"/>
      <c r="T7" s="179"/>
      <c r="U7" s="179"/>
    </row>
    <row r="8" spans="1:21" s="189" customFormat="1" ht="21.65" customHeight="1" x14ac:dyDescent="0.25">
      <c r="A8" s="180">
        <v>6</v>
      </c>
      <c r="B8" s="181" t="s">
        <v>423</v>
      </c>
      <c r="C8" s="192" t="s">
        <v>441</v>
      </c>
      <c r="D8" s="183"/>
      <c r="E8" s="183"/>
      <c r="F8" s="173">
        <f>'报告表格信用 (2)'!D8*'报告表格信用 (2)'!E8/365</f>
        <v>975342.46575342468</v>
      </c>
      <c r="G8" s="173"/>
      <c r="H8" s="173">
        <f t="shared" si="0"/>
        <v>18043</v>
      </c>
      <c r="I8" s="174">
        <f>INT(F8*'报告表格信用 (2)'!F8*50%)</f>
        <v>18043</v>
      </c>
      <c r="J8" s="174" t="s">
        <v>415</v>
      </c>
      <c r="K8" s="180"/>
      <c r="L8" s="180"/>
      <c r="M8" s="180"/>
      <c r="N8" s="184"/>
      <c r="O8" s="193"/>
      <c r="P8" s="186"/>
      <c r="Q8" s="187"/>
      <c r="R8" s="188"/>
      <c r="S8" s="187"/>
      <c r="T8" s="188"/>
      <c r="U8" s="188"/>
    </row>
    <row r="9" spans="1:21" s="189" customFormat="1" ht="21.65" customHeight="1" x14ac:dyDescent="0.25">
      <c r="A9" s="180">
        <v>7</v>
      </c>
      <c r="B9" s="181" t="s">
        <v>424</v>
      </c>
      <c r="C9" s="192" t="s">
        <v>51</v>
      </c>
      <c r="D9" s="183"/>
      <c r="E9" s="183"/>
      <c r="F9" s="173">
        <f>'报告表格信用 (2)'!D9*'报告表格信用 (2)'!E9/365</f>
        <v>2767123.2876712331</v>
      </c>
      <c r="G9" s="173"/>
      <c r="H9" s="173">
        <f t="shared" si="0"/>
        <v>50500</v>
      </c>
      <c r="I9" s="174">
        <f>INT(F9*'报告表格信用 (2)'!F9*50%)</f>
        <v>50500</v>
      </c>
      <c r="J9" s="174" t="s">
        <v>415</v>
      </c>
      <c r="K9" s="180"/>
      <c r="L9" s="180"/>
      <c r="M9" s="180"/>
      <c r="N9" s="184"/>
      <c r="O9" s="180" t="s">
        <v>416</v>
      </c>
      <c r="P9" s="186"/>
      <c r="Q9" s="187"/>
      <c r="R9" s="188"/>
      <c r="S9" s="187"/>
      <c r="T9" s="188"/>
      <c r="U9" s="188"/>
    </row>
    <row r="10" spans="1:21" s="189" customFormat="1" ht="21.65" customHeight="1" x14ac:dyDescent="0.25">
      <c r="A10" s="180">
        <v>8</v>
      </c>
      <c r="B10" s="181" t="s">
        <v>425</v>
      </c>
      <c r="C10" s="192" t="s">
        <v>442</v>
      </c>
      <c r="D10" s="183"/>
      <c r="E10" s="183"/>
      <c r="F10" s="173">
        <f>'报告表格信用 (2)'!D10*'报告表格信用 (2)'!E10/365</f>
        <v>1775342.4657534247</v>
      </c>
      <c r="G10" s="173"/>
      <c r="H10" s="173">
        <f t="shared" si="0"/>
        <v>32843</v>
      </c>
      <c r="I10" s="174">
        <f>INT(F10*'报告表格信用 (2)'!F10*50%)</f>
        <v>32843</v>
      </c>
      <c r="J10" s="174" t="s">
        <v>415</v>
      </c>
      <c r="K10" s="180"/>
      <c r="L10" s="180"/>
      <c r="M10" s="180"/>
      <c r="N10" s="184"/>
      <c r="O10" s="193" t="s">
        <v>416</v>
      </c>
      <c r="P10" s="186"/>
      <c r="Q10" s="187"/>
      <c r="R10" s="188"/>
      <c r="S10" s="187"/>
      <c r="T10" s="188"/>
      <c r="U10" s="188"/>
    </row>
    <row r="11" spans="1:21" s="189" customFormat="1" ht="21.65" customHeight="1" x14ac:dyDescent="0.25">
      <c r="A11" s="180">
        <v>9</v>
      </c>
      <c r="B11" s="181" t="s">
        <v>425</v>
      </c>
      <c r="C11" s="192" t="s">
        <v>443</v>
      </c>
      <c r="D11" s="183"/>
      <c r="E11" s="183"/>
      <c r="F11" s="173">
        <f>'报告表格信用 (2)'!D11*'报告表格信用 (2)'!E11/365</f>
        <v>1986301.3698630137</v>
      </c>
      <c r="G11" s="173"/>
      <c r="H11" s="173">
        <f t="shared" si="0"/>
        <v>36746</v>
      </c>
      <c r="I11" s="174">
        <f>INT(F11*'报告表格信用 (2)'!F11*50%)</f>
        <v>36746</v>
      </c>
      <c r="J11" s="174" t="s">
        <v>415</v>
      </c>
      <c r="K11" s="180"/>
      <c r="L11" s="180"/>
      <c r="M11" s="180"/>
      <c r="N11" s="184"/>
      <c r="O11" s="193" t="s">
        <v>416</v>
      </c>
      <c r="P11" s="186"/>
      <c r="Q11" s="187"/>
      <c r="R11" s="188"/>
      <c r="S11" s="187"/>
      <c r="T11" s="188"/>
      <c r="U11" s="188"/>
    </row>
    <row r="12" spans="1:21" s="189" customFormat="1" ht="21.65" customHeight="1" x14ac:dyDescent="0.25">
      <c r="A12" s="180">
        <v>10</v>
      </c>
      <c r="B12" s="181" t="s">
        <v>426</v>
      </c>
      <c r="C12" s="192" t="s">
        <v>444</v>
      </c>
      <c r="D12" s="183"/>
      <c r="E12" s="183"/>
      <c r="F12" s="173">
        <f>'报告表格信用 (2)'!D12*'报告表格信用 (2)'!E12/365</f>
        <v>3424657.5342465756</v>
      </c>
      <c r="G12" s="173"/>
      <c r="H12" s="173">
        <f t="shared" si="0"/>
        <v>63356</v>
      </c>
      <c r="I12" s="174">
        <f>INT(F12*'报告表格信用 (2)'!F12*50%)</f>
        <v>63356</v>
      </c>
      <c r="J12" s="174" t="s">
        <v>415</v>
      </c>
      <c r="K12" s="180"/>
      <c r="L12" s="180"/>
      <c r="M12" s="180"/>
      <c r="N12" s="184"/>
      <c r="O12" s="194"/>
      <c r="P12" s="186"/>
      <c r="Q12" s="187"/>
      <c r="R12" s="188"/>
      <c r="S12" s="187"/>
      <c r="T12" s="188"/>
      <c r="U12" s="188"/>
    </row>
    <row r="13" spans="1:21" s="189" customFormat="1" ht="21.65" customHeight="1" x14ac:dyDescent="0.25">
      <c r="A13" s="180">
        <v>11</v>
      </c>
      <c r="B13" s="181" t="s">
        <v>165</v>
      </c>
      <c r="C13" s="182" t="s">
        <v>166</v>
      </c>
      <c r="D13" s="183"/>
      <c r="E13" s="183"/>
      <c r="F13" s="173">
        <f>'报告表格信用 (2)'!D13*'报告表格信用 (2)'!E13/365</f>
        <v>252054.79452054793</v>
      </c>
      <c r="G13" s="173"/>
      <c r="H13" s="173">
        <f t="shared" si="0"/>
        <v>4663</v>
      </c>
      <c r="I13" s="174">
        <f>INT(F13*'报告表格信用 (2)'!F13*50%)</f>
        <v>4663</v>
      </c>
      <c r="J13" s="174" t="s">
        <v>415</v>
      </c>
      <c r="K13" s="180"/>
      <c r="L13" s="180"/>
      <c r="M13" s="180"/>
      <c r="N13" s="184"/>
      <c r="O13" s="194"/>
      <c r="P13" s="186"/>
      <c r="Q13" s="187"/>
      <c r="R13" s="188"/>
      <c r="S13" s="187"/>
      <c r="T13" s="188"/>
      <c r="U13" s="188"/>
    </row>
    <row r="14" spans="1:21" s="189" customFormat="1" ht="21.65" customHeight="1" x14ac:dyDescent="0.25">
      <c r="A14" s="180">
        <v>11</v>
      </c>
      <c r="B14" s="181" t="s">
        <v>165</v>
      </c>
      <c r="C14" s="182" t="s">
        <v>166</v>
      </c>
      <c r="D14" s="183"/>
      <c r="E14" s="183"/>
      <c r="F14" s="173">
        <f>'报告表格信用 (2)'!D14*'报告表格信用 (2)'!E14/365</f>
        <v>756164.38356164389</v>
      </c>
      <c r="G14" s="173"/>
      <c r="H14" s="173">
        <f t="shared" si="0"/>
        <v>12854</v>
      </c>
      <c r="I14" s="174">
        <f>INT(F14*'报告表格信用 (2)'!F14*50%)</f>
        <v>12854</v>
      </c>
      <c r="J14" s="174" t="s">
        <v>415</v>
      </c>
      <c r="K14" s="180"/>
      <c r="L14" s="180"/>
      <c r="M14" s="180"/>
      <c r="N14" s="184"/>
      <c r="O14" s="194"/>
      <c r="P14" s="186"/>
      <c r="Q14" s="187"/>
      <c r="R14" s="188"/>
      <c r="S14" s="187"/>
      <c r="T14" s="188"/>
      <c r="U14" s="188"/>
    </row>
    <row r="15" spans="1:21" s="189" customFormat="1" ht="21.65" customHeight="1" x14ac:dyDescent="0.25">
      <c r="A15" s="180">
        <v>12</v>
      </c>
      <c r="B15" s="181" t="s">
        <v>165</v>
      </c>
      <c r="C15" s="182" t="s">
        <v>166</v>
      </c>
      <c r="D15" s="183"/>
      <c r="E15" s="183"/>
      <c r="F15" s="173">
        <f>'报告表格信用 (2)'!D15*'报告表格信用 (2)'!E15/365</f>
        <v>2498630.1369863013</v>
      </c>
      <c r="G15" s="173"/>
      <c r="H15" s="173">
        <f t="shared" si="0"/>
        <v>42476</v>
      </c>
      <c r="I15" s="174">
        <f>INT(F15*'报告表格信用 (2)'!F15*50%)</f>
        <v>42476</v>
      </c>
      <c r="J15" s="174" t="s">
        <v>415</v>
      </c>
      <c r="K15" s="180"/>
      <c r="L15" s="180"/>
      <c r="M15" s="180"/>
      <c r="N15" s="184"/>
      <c r="O15" s="194"/>
      <c r="P15" s="186"/>
      <c r="Q15" s="187"/>
      <c r="R15" s="188"/>
      <c r="S15" s="187"/>
      <c r="T15" s="188"/>
      <c r="U15" s="188"/>
    </row>
    <row r="16" spans="1:21" ht="21.65" customHeight="1" x14ac:dyDescent="0.25">
      <c r="A16" s="180">
        <v>13</v>
      </c>
      <c r="B16" s="170" t="s">
        <v>175</v>
      </c>
      <c r="C16" s="171" t="s">
        <v>176</v>
      </c>
      <c r="D16" s="172"/>
      <c r="E16" s="169"/>
      <c r="F16" s="173">
        <f>'报告表格信用 (2)'!D16*'报告表格信用 (2)'!E16/365</f>
        <v>1476986.3013698631</v>
      </c>
      <c r="G16" s="173"/>
      <c r="H16" s="173">
        <f t="shared" si="0"/>
        <v>27324</v>
      </c>
      <c r="I16" s="174">
        <f>INT(F16*'报告表格信用 (2)'!F16*50%)</f>
        <v>27324</v>
      </c>
      <c r="J16" s="174" t="s">
        <v>415</v>
      </c>
      <c r="K16" s="169"/>
      <c r="L16" s="169"/>
      <c r="M16" s="169"/>
      <c r="N16" s="175"/>
      <c r="O16" s="195"/>
      <c r="Q16" s="178"/>
      <c r="R16" s="179"/>
      <c r="S16" s="178"/>
      <c r="T16" s="179"/>
      <c r="U16" s="179"/>
    </row>
    <row r="17" spans="1:21" ht="21.65" customHeight="1" x14ac:dyDescent="0.25">
      <c r="A17" s="180">
        <v>14</v>
      </c>
      <c r="B17" s="170" t="s">
        <v>175</v>
      </c>
      <c r="C17" s="171" t="s">
        <v>176</v>
      </c>
      <c r="D17" s="172"/>
      <c r="E17" s="172"/>
      <c r="F17" s="173">
        <f>'报告表格信用 (2)'!D17*'报告表格信用 (2)'!E17/365</f>
        <v>2397.2602739726026</v>
      </c>
      <c r="G17" s="173"/>
      <c r="H17" s="173">
        <f t="shared" si="0"/>
        <v>44</v>
      </c>
      <c r="I17" s="174">
        <f>INT(F17*'报告表格信用 (2)'!F17*50%)</f>
        <v>44</v>
      </c>
      <c r="J17" s="174" t="s">
        <v>415</v>
      </c>
      <c r="K17" s="169"/>
      <c r="L17" s="169"/>
      <c r="M17" s="169"/>
      <c r="N17" s="175"/>
      <c r="O17" s="195"/>
      <c r="Q17" s="178"/>
      <c r="R17" s="179"/>
      <c r="S17" s="178"/>
      <c r="T17" s="179"/>
      <c r="U17" s="179"/>
    </row>
    <row r="18" spans="1:21" ht="21.65" customHeight="1" x14ac:dyDescent="0.25">
      <c r="A18" s="180">
        <v>15</v>
      </c>
      <c r="B18" s="170" t="s">
        <v>175</v>
      </c>
      <c r="C18" s="171" t="s">
        <v>182</v>
      </c>
      <c r="D18" s="172"/>
      <c r="E18" s="172"/>
      <c r="F18" s="173">
        <f>'报告表格信用 (2)'!D18*'报告表格信用 (2)'!E18/365</f>
        <v>1095890.4109589041</v>
      </c>
      <c r="G18" s="173"/>
      <c r="H18" s="173">
        <f t="shared" si="0"/>
        <v>20273</v>
      </c>
      <c r="I18" s="174">
        <f>INT(F18*'报告表格信用 (2)'!F18*50%)</f>
        <v>20273</v>
      </c>
      <c r="J18" s="174" t="s">
        <v>415</v>
      </c>
      <c r="K18" s="169"/>
      <c r="L18" s="169"/>
      <c r="M18" s="169"/>
      <c r="N18" s="175"/>
      <c r="O18" s="195"/>
      <c r="Q18" s="178"/>
      <c r="R18" s="179"/>
      <c r="S18" s="178"/>
      <c r="T18" s="179"/>
      <c r="U18" s="179"/>
    </row>
    <row r="19" spans="1:21" ht="21.65" customHeight="1" x14ac:dyDescent="0.25">
      <c r="A19" s="180">
        <v>16</v>
      </c>
      <c r="B19" s="170" t="s">
        <v>175</v>
      </c>
      <c r="C19" s="171" t="s">
        <v>182</v>
      </c>
      <c r="D19" s="172"/>
      <c r="E19" s="172"/>
      <c r="F19" s="173">
        <f>'报告表格信用 (2)'!D19*'报告表格信用 (2)'!E19/365</f>
        <v>1643835.6164383562</v>
      </c>
      <c r="G19" s="173"/>
      <c r="H19" s="173">
        <f t="shared" si="0"/>
        <v>30410</v>
      </c>
      <c r="I19" s="174">
        <f>INT(F19*'报告表格信用 (2)'!F19*50%)</f>
        <v>30410</v>
      </c>
      <c r="J19" s="174" t="s">
        <v>415</v>
      </c>
      <c r="K19" s="169"/>
      <c r="L19" s="169"/>
      <c r="M19" s="169"/>
      <c r="N19" s="175"/>
      <c r="O19" s="195"/>
      <c r="Q19" s="178"/>
      <c r="R19" s="179"/>
      <c r="S19" s="178"/>
      <c r="T19" s="179"/>
      <c r="U19" s="179"/>
    </row>
    <row r="20" spans="1:21" ht="21.65" customHeight="1" x14ac:dyDescent="0.25">
      <c r="A20" s="180">
        <v>17</v>
      </c>
      <c r="B20" s="170" t="s">
        <v>175</v>
      </c>
      <c r="C20" s="171" t="s">
        <v>182</v>
      </c>
      <c r="D20" s="172"/>
      <c r="E20" s="169"/>
      <c r="F20" s="173">
        <f>'报告表格信用 (2)'!D20*'报告表格信用 (2)'!E20/365</f>
        <v>1090410.9589041097</v>
      </c>
      <c r="G20" s="173"/>
      <c r="H20" s="173">
        <f t="shared" si="0"/>
        <v>20172</v>
      </c>
      <c r="I20" s="174">
        <f>INT(F20*'报告表格信用 (2)'!F20*50%)</f>
        <v>20172</v>
      </c>
      <c r="J20" s="174" t="s">
        <v>415</v>
      </c>
      <c r="K20" s="169"/>
      <c r="L20" s="169"/>
      <c r="M20" s="169"/>
      <c r="N20" s="175"/>
      <c r="O20" s="195"/>
      <c r="Q20" s="178"/>
      <c r="R20" s="179"/>
      <c r="S20" s="178"/>
      <c r="T20" s="179"/>
      <c r="U20" s="179"/>
    </row>
    <row r="21" spans="1:21" ht="21.65" customHeight="1" x14ac:dyDescent="0.25">
      <c r="A21" s="180">
        <v>18</v>
      </c>
      <c r="B21" s="170" t="s">
        <v>175</v>
      </c>
      <c r="C21" s="171" t="s">
        <v>186</v>
      </c>
      <c r="D21" s="172"/>
      <c r="E21" s="172"/>
      <c r="F21" s="173">
        <f>'报告表格信用 (2)'!D21*'报告表格信用 (2)'!E21/365</f>
        <v>202739.72602739726</v>
      </c>
      <c r="G21" s="173"/>
      <c r="H21" s="173">
        <f t="shared" si="0"/>
        <v>3750</v>
      </c>
      <c r="I21" s="174">
        <f>INT(F21*'报告表格信用 (2)'!F21*50%)</f>
        <v>3750</v>
      </c>
      <c r="J21" s="174" t="s">
        <v>415</v>
      </c>
      <c r="K21" s="169"/>
      <c r="L21" s="169"/>
      <c r="M21" s="169"/>
      <c r="N21" s="175"/>
      <c r="O21" s="195"/>
      <c r="Q21" s="178"/>
      <c r="R21" s="179"/>
      <c r="S21" s="178"/>
      <c r="T21" s="179"/>
      <c r="U21" s="179"/>
    </row>
    <row r="22" spans="1:21" ht="21.65" customHeight="1" x14ac:dyDescent="0.25">
      <c r="A22" s="180">
        <v>19</v>
      </c>
      <c r="B22" s="170" t="s">
        <v>175</v>
      </c>
      <c r="C22" s="171" t="s">
        <v>182</v>
      </c>
      <c r="D22" s="172"/>
      <c r="E22" s="172"/>
      <c r="F22" s="173">
        <f>'报告表格信用 (2)'!D22*'报告表格信用 (2)'!E22/365</f>
        <v>155904.10958904109</v>
      </c>
      <c r="G22" s="173"/>
      <c r="H22" s="173">
        <f t="shared" si="0"/>
        <v>2884</v>
      </c>
      <c r="I22" s="174">
        <f>INT(F22*'报告表格信用 (2)'!F22*50%)</f>
        <v>2884</v>
      </c>
      <c r="J22" s="174" t="s">
        <v>415</v>
      </c>
      <c r="K22" s="169"/>
      <c r="L22" s="169"/>
      <c r="M22" s="169"/>
      <c r="N22" s="175"/>
      <c r="O22" s="195"/>
      <c r="Q22" s="178"/>
      <c r="R22" s="179"/>
      <c r="S22" s="178"/>
      <c r="T22" s="179"/>
      <c r="U22" s="179"/>
    </row>
    <row r="23" spans="1:21" ht="21.65" customHeight="1" x14ac:dyDescent="0.25">
      <c r="A23" s="180">
        <v>20</v>
      </c>
      <c r="B23" s="170" t="s">
        <v>175</v>
      </c>
      <c r="C23" s="171" t="s">
        <v>182</v>
      </c>
      <c r="D23" s="172"/>
      <c r="E23" s="169"/>
      <c r="F23" s="173">
        <f>'报告表格信用 (2)'!D23*'报告表格信用 (2)'!E23/365</f>
        <v>328.76712328767121</v>
      </c>
      <c r="G23" s="173"/>
      <c r="H23" s="173">
        <f t="shared" si="0"/>
        <v>6</v>
      </c>
      <c r="I23" s="174">
        <f>INT(F23*'报告表格信用 (2)'!F23*50%)</f>
        <v>6</v>
      </c>
      <c r="J23" s="174" t="s">
        <v>415</v>
      </c>
      <c r="K23" s="169"/>
      <c r="L23" s="169"/>
      <c r="M23" s="169"/>
      <c r="N23" s="175"/>
      <c r="O23" s="195"/>
      <c r="Q23" s="178"/>
      <c r="R23" s="179"/>
      <c r="S23" s="178"/>
      <c r="T23" s="179"/>
      <c r="U23" s="179"/>
    </row>
    <row r="24" spans="1:21" ht="21.65" customHeight="1" x14ac:dyDescent="0.25">
      <c r="A24" s="180">
        <v>21</v>
      </c>
      <c r="B24" s="170" t="s">
        <v>188</v>
      </c>
      <c r="C24" s="171" t="s">
        <v>189</v>
      </c>
      <c r="D24" s="172"/>
      <c r="E24" s="172"/>
      <c r="F24" s="173">
        <f>'报告表格信用 (2)'!D24*'报告表格信用 (2)'!E24/365</f>
        <v>675616.43835616438</v>
      </c>
      <c r="G24" s="173"/>
      <c r="H24" s="173">
        <f t="shared" si="0"/>
        <v>12498</v>
      </c>
      <c r="I24" s="174">
        <f>INT(F24*'报告表格信用 (2)'!F24*50%)</f>
        <v>12498</v>
      </c>
      <c r="J24" s="174" t="s">
        <v>415</v>
      </c>
      <c r="K24" s="169"/>
      <c r="L24" s="169"/>
      <c r="M24" s="169"/>
      <c r="N24" s="175"/>
      <c r="O24" s="195"/>
      <c r="Q24" s="178"/>
      <c r="R24" s="179"/>
      <c r="S24" s="178"/>
      <c r="T24" s="179"/>
      <c r="U24" s="179"/>
    </row>
    <row r="25" spans="1:21" ht="21.65" customHeight="1" x14ac:dyDescent="0.25">
      <c r="A25" s="180">
        <v>22</v>
      </c>
      <c r="B25" s="170" t="s">
        <v>188</v>
      </c>
      <c r="C25" s="171" t="s">
        <v>189</v>
      </c>
      <c r="D25" s="172"/>
      <c r="E25" s="172"/>
      <c r="F25" s="173">
        <f>'报告表格信用 (2)'!D25*'报告表格信用 (2)'!E25/365</f>
        <v>1313698.6301369863</v>
      </c>
      <c r="G25" s="173"/>
      <c r="H25" s="173">
        <f t="shared" si="0"/>
        <v>24303</v>
      </c>
      <c r="I25" s="174">
        <f>INT(F25*'报告表格信用 (2)'!F25*50%)</f>
        <v>24303</v>
      </c>
      <c r="J25" s="174" t="s">
        <v>415</v>
      </c>
      <c r="K25" s="169"/>
      <c r="L25" s="169"/>
      <c r="M25" s="169"/>
      <c r="N25" s="175"/>
      <c r="O25" s="195"/>
      <c r="Q25" s="178"/>
      <c r="R25" s="179"/>
      <c r="S25" s="178"/>
      <c r="T25" s="179"/>
      <c r="U25" s="179"/>
    </row>
    <row r="26" spans="1:21" ht="21.65" customHeight="1" x14ac:dyDescent="0.25">
      <c r="A26" s="180">
        <v>23</v>
      </c>
      <c r="B26" s="170" t="s">
        <v>188</v>
      </c>
      <c r="C26" s="171" t="s">
        <v>189</v>
      </c>
      <c r="D26" s="172"/>
      <c r="E26" s="169"/>
      <c r="F26" s="173">
        <f>'报告表格信用 (2)'!D26*'报告表格信用 (2)'!E26/365</f>
        <v>1789863.01369863</v>
      </c>
      <c r="G26" s="173"/>
      <c r="H26" s="173">
        <f t="shared" si="0"/>
        <v>33112</v>
      </c>
      <c r="I26" s="174">
        <f>INT(F26*'报告表格信用 (2)'!F26*50%)</f>
        <v>33112</v>
      </c>
      <c r="J26" s="174" t="s">
        <v>415</v>
      </c>
      <c r="K26" s="169"/>
      <c r="L26" s="169"/>
      <c r="M26" s="169"/>
      <c r="N26" s="175"/>
      <c r="O26" s="195"/>
      <c r="Q26" s="178"/>
      <c r="R26" s="179"/>
      <c r="S26" s="178"/>
      <c r="T26" s="179"/>
      <c r="U26" s="179"/>
    </row>
    <row r="27" spans="1:21" ht="21.65" customHeight="1" x14ac:dyDescent="0.25">
      <c r="A27" s="180">
        <v>24</v>
      </c>
      <c r="B27" s="170" t="s">
        <v>195</v>
      </c>
      <c r="C27" s="171" t="s">
        <v>33</v>
      </c>
      <c r="D27" s="172"/>
      <c r="E27" s="172"/>
      <c r="F27" s="173">
        <f>'报告表格信用 (2)'!D27*'报告表格信用 (2)'!E27/365</f>
        <v>1134246.5753424657</v>
      </c>
      <c r="G27" s="173"/>
      <c r="H27" s="173">
        <f t="shared" si="0"/>
        <v>20983</v>
      </c>
      <c r="I27" s="174">
        <f>INT(F27*'报告表格信用 (2)'!F27*50%)</f>
        <v>20983</v>
      </c>
      <c r="J27" s="174" t="s">
        <v>415</v>
      </c>
      <c r="K27" s="169"/>
      <c r="L27" s="169"/>
      <c r="M27" s="169"/>
      <c r="N27" s="175"/>
      <c r="O27" s="195"/>
      <c r="Q27" s="178"/>
      <c r="R27" s="179"/>
      <c r="S27" s="178"/>
      <c r="T27" s="179"/>
      <c r="U27" s="179"/>
    </row>
    <row r="28" spans="1:21" ht="21.65" customHeight="1" x14ac:dyDescent="0.25">
      <c r="A28" s="180">
        <v>25</v>
      </c>
      <c r="B28" s="170" t="s">
        <v>195</v>
      </c>
      <c r="C28" s="171" t="s">
        <v>200</v>
      </c>
      <c r="D28" s="172"/>
      <c r="E28" s="172"/>
      <c r="F28" s="173">
        <f>'报告表格信用 (2)'!D28*'报告表格信用 (2)'!E28/365</f>
        <v>1424657.5342465753</v>
      </c>
      <c r="G28" s="173"/>
      <c r="H28" s="173">
        <f t="shared" si="0"/>
        <v>26356</v>
      </c>
      <c r="I28" s="174">
        <f>INT(F28*'报告表格信用 (2)'!F28*50%)</f>
        <v>26356</v>
      </c>
      <c r="J28" s="174" t="s">
        <v>415</v>
      </c>
      <c r="K28" s="169"/>
      <c r="L28" s="169"/>
      <c r="M28" s="169"/>
      <c r="N28" s="175"/>
      <c r="O28" s="195"/>
      <c r="Q28" s="178"/>
      <c r="R28" s="179"/>
      <c r="S28" s="178"/>
      <c r="T28" s="179"/>
      <c r="U28" s="179"/>
    </row>
    <row r="29" spans="1:21" ht="21.65" customHeight="1" x14ac:dyDescent="0.25">
      <c r="A29" s="180">
        <v>26</v>
      </c>
      <c r="B29" s="170" t="s">
        <v>195</v>
      </c>
      <c r="C29" s="171" t="s">
        <v>200</v>
      </c>
      <c r="D29" s="172"/>
      <c r="E29" s="169"/>
      <c r="F29" s="173">
        <f>'报告表格信用 (2)'!D29*'报告表格信用 (2)'!E29/365</f>
        <v>432876.71232876711</v>
      </c>
      <c r="G29" s="173"/>
      <c r="H29" s="173">
        <f t="shared" si="0"/>
        <v>8008</v>
      </c>
      <c r="I29" s="174">
        <f>INT(F29*'报告表格信用 (2)'!F29*50%)</f>
        <v>8008</v>
      </c>
      <c r="J29" s="174" t="s">
        <v>415</v>
      </c>
      <c r="K29" s="169"/>
      <c r="L29" s="169"/>
      <c r="M29" s="169"/>
      <c r="N29" s="175"/>
      <c r="O29" s="195"/>
      <c r="Q29" s="178"/>
      <c r="R29" s="179"/>
      <c r="S29" s="178"/>
      <c r="T29" s="179"/>
      <c r="U29" s="179"/>
    </row>
    <row r="30" spans="1:21" ht="21.65" customHeight="1" x14ac:dyDescent="0.25">
      <c r="A30" s="180">
        <v>27</v>
      </c>
      <c r="B30" s="170" t="s">
        <v>202</v>
      </c>
      <c r="C30" s="171" t="s">
        <v>176</v>
      </c>
      <c r="D30" s="172"/>
      <c r="E30" s="172"/>
      <c r="F30" s="173">
        <f>'报告表格信用 (2)'!D30*'报告表格信用 (2)'!E30/365</f>
        <v>854794.52054794517</v>
      </c>
      <c r="G30" s="173"/>
      <c r="H30" s="173">
        <f t="shared" si="0"/>
        <v>15813</v>
      </c>
      <c r="I30" s="174">
        <f>INT(F30*'报告表格信用 (2)'!F30*50%)</f>
        <v>15813</v>
      </c>
      <c r="J30" s="174" t="s">
        <v>415</v>
      </c>
      <c r="K30" s="169"/>
      <c r="L30" s="169"/>
      <c r="M30" s="169"/>
      <c r="N30" s="175"/>
      <c r="O30" s="195"/>
      <c r="Q30" s="178"/>
      <c r="R30" s="179"/>
      <c r="S30" s="178"/>
      <c r="T30" s="179"/>
      <c r="U30" s="179"/>
    </row>
    <row r="31" spans="1:21" ht="21.65" customHeight="1" x14ac:dyDescent="0.25">
      <c r="A31" s="180">
        <v>28</v>
      </c>
      <c r="B31" s="170" t="s">
        <v>202</v>
      </c>
      <c r="C31" s="171" t="s">
        <v>176</v>
      </c>
      <c r="D31" s="172"/>
      <c r="E31" s="172"/>
      <c r="F31" s="173">
        <f>'报告表格信用 (2)'!D31*'报告表格信用 (2)'!E31/365</f>
        <v>657534.24657534249</v>
      </c>
      <c r="G31" s="173"/>
      <c r="H31" s="173">
        <f t="shared" si="0"/>
        <v>12164</v>
      </c>
      <c r="I31" s="174">
        <f>INT(F31*'报告表格信用 (2)'!F31*50%)</f>
        <v>12164</v>
      </c>
      <c r="J31" s="174" t="s">
        <v>415</v>
      </c>
      <c r="K31" s="169"/>
      <c r="L31" s="169"/>
      <c r="M31" s="169"/>
      <c r="N31" s="175"/>
      <c r="O31" s="195"/>
      <c r="Q31" s="178"/>
      <c r="R31" s="179"/>
      <c r="S31" s="178"/>
      <c r="T31" s="179"/>
      <c r="U31" s="179"/>
    </row>
    <row r="32" spans="1:21" ht="21.65" customHeight="1" x14ac:dyDescent="0.25">
      <c r="A32" s="180">
        <v>29</v>
      </c>
      <c r="B32" s="170" t="s">
        <v>209</v>
      </c>
      <c r="C32" s="171" t="s">
        <v>33</v>
      </c>
      <c r="D32" s="172"/>
      <c r="E32" s="169"/>
      <c r="F32" s="173">
        <f>'报告表格信用 (2)'!D32*'报告表格信用 (2)'!E32/365</f>
        <v>821917.80821917811</v>
      </c>
      <c r="G32" s="173"/>
      <c r="H32" s="173">
        <f t="shared" si="0"/>
        <v>15205</v>
      </c>
      <c r="I32" s="174">
        <f>INT(F32*'报告表格信用 (2)'!F32*50%)</f>
        <v>15205</v>
      </c>
      <c r="J32" s="174" t="s">
        <v>415</v>
      </c>
      <c r="K32" s="169"/>
      <c r="L32" s="169"/>
      <c r="M32" s="169"/>
      <c r="N32" s="175"/>
      <c r="O32" s="195"/>
      <c r="Q32" s="178"/>
      <c r="R32" s="179"/>
      <c r="S32" s="178"/>
      <c r="T32" s="179"/>
      <c r="U32" s="179"/>
    </row>
    <row r="33" spans="1:21" ht="21.65" customHeight="1" x14ac:dyDescent="0.25">
      <c r="A33" s="180">
        <v>30</v>
      </c>
      <c r="B33" s="170" t="s">
        <v>214</v>
      </c>
      <c r="C33" s="171" t="s">
        <v>30</v>
      </c>
      <c r="D33" s="172"/>
      <c r="E33" s="172"/>
      <c r="F33" s="173">
        <f>'报告表格信用 (2)'!D33*'报告表格信用 (2)'!E33/365</f>
        <v>1095890.4109589041</v>
      </c>
      <c r="G33" s="173"/>
      <c r="H33" s="173">
        <f t="shared" si="0"/>
        <v>20273</v>
      </c>
      <c r="I33" s="174">
        <f>INT(F33*'报告表格信用 (2)'!F33*50%)</f>
        <v>20273</v>
      </c>
      <c r="J33" s="174" t="s">
        <v>415</v>
      </c>
      <c r="K33" s="169"/>
      <c r="L33" s="169"/>
      <c r="M33" s="169"/>
      <c r="N33" s="175"/>
      <c r="O33" s="195"/>
      <c r="Q33" s="178"/>
      <c r="R33" s="179"/>
      <c r="S33" s="178"/>
      <c r="T33" s="179"/>
      <c r="U33" s="179"/>
    </row>
    <row r="34" spans="1:21" ht="21.65" customHeight="1" x14ac:dyDescent="0.25">
      <c r="A34" s="180">
        <v>31</v>
      </c>
      <c r="B34" s="170" t="s">
        <v>214</v>
      </c>
      <c r="C34" s="171" t="s">
        <v>30</v>
      </c>
      <c r="D34" s="172"/>
      <c r="E34" s="172"/>
      <c r="F34" s="173">
        <f>'报告表格信用 (2)'!D34*'报告表格信用 (2)'!E34/365</f>
        <v>1424657.5342465753</v>
      </c>
      <c r="G34" s="173"/>
      <c r="H34" s="173">
        <f t="shared" si="0"/>
        <v>26356</v>
      </c>
      <c r="I34" s="174">
        <f>INT(F34*'报告表格信用 (2)'!F34*50%)</f>
        <v>26356</v>
      </c>
      <c r="J34" s="174" t="s">
        <v>415</v>
      </c>
      <c r="K34" s="169"/>
      <c r="L34" s="169"/>
      <c r="M34" s="169"/>
      <c r="N34" s="175"/>
      <c r="O34" s="195"/>
      <c r="Q34" s="178"/>
      <c r="R34" s="179"/>
      <c r="S34" s="178"/>
      <c r="T34" s="179"/>
      <c r="U34" s="179"/>
    </row>
    <row r="35" spans="1:21" ht="21.65" customHeight="1" x14ac:dyDescent="0.25">
      <c r="A35" s="180">
        <v>32</v>
      </c>
      <c r="B35" s="170" t="s">
        <v>222</v>
      </c>
      <c r="C35" s="171" t="s">
        <v>445</v>
      </c>
      <c r="D35" s="172"/>
      <c r="E35" s="169"/>
      <c r="F35" s="173">
        <f>'报告表格信用 (2)'!D35*'报告表格信用 (2)'!E35/365</f>
        <v>4602739.7260273974</v>
      </c>
      <c r="G35" s="173"/>
      <c r="H35" s="173">
        <f t="shared" si="0"/>
        <v>85150</v>
      </c>
      <c r="I35" s="174">
        <f>INT(F35*'报告表格信用 (2)'!F35*50%)</f>
        <v>85150</v>
      </c>
      <c r="J35" s="174" t="s">
        <v>415</v>
      </c>
      <c r="K35" s="169"/>
      <c r="L35" s="169"/>
      <c r="M35" s="169"/>
      <c r="N35" s="175"/>
      <c r="O35" s="195"/>
      <c r="Q35" s="178"/>
      <c r="R35" s="179"/>
      <c r="S35" s="178"/>
      <c r="T35" s="179"/>
      <c r="U35" s="179"/>
    </row>
    <row r="36" spans="1:21" ht="21.65" customHeight="1" x14ac:dyDescent="0.25">
      <c r="A36" s="180">
        <v>33</v>
      </c>
      <c r="B36" s="170" t="s">
        <v>222</v>
      </c>
      <c r="C36" s="171" t="s">
        <v>445</v>
      </c>
      <c r="D36" s="172"/>
      <c r="E36" s="169"/>
      <c r="F36" s="173">
        <f>'报告表格信用 (2)'!D36*'报告表格信用 (2)'!E36/365</f>
        <v>438356.16438356164</v>
      </c>
      <c r="G36" s="173"/>
      <c r="H36" s="173">
        <f t="shared" si="0"/>
        <v>7890</v>
      </c>
      <c r="I36" s="174">
        <f>INT(F36*'报告表格信用 (2)'!F36*50%)</f>
        <v>7890</v>
      </c>
      <c r="J36" s="174" t="s">
        <v>415</v>
      </c>
      <c r="K36" s="169"/>
      <c r="L36" s="169"/>
      <c r="M36" s="169"/>
      <c r="N36" s="175"/>
      <c r="O36" s="195"/>
      <c r="Q36" s="178"/>
      <c r="R36" s="179"/>
      <c r="S36" s="178"/>
      <c r="T36" s="179"/>
      <c r="U36" s="179"/>
    </row>
    <row r="37" spans="1:21" ht="21.65" customHeight="1" x14ac:dyDescent="0.25">
      <c r="A37" s="180">
        <v>34</v>
      </c>
      <c r="B37" s="170" t="s">
        <v>225</v>
      </c>
      <c r="C37" s="171" t="s">
        <v>229</v>
      </c>
      <c r="D37" s="172"/>
      <c r="E37" s="172"/>
      <c r="F37" s="173">
        <f>'报告表格信用 (2)'!D37*'报告表格信用 (2)'!E37/365</f>
        <v>1873972.602739726</v>
      </c>
      <c r="G37" s="173"/>
      <c r="H37" s="173">
        <f t="shared" si="0"/>
        <v>34668</v>
      </c>
      <c r="I37" s="174">
        <f>INT(F37*'报告表格信用 (2)'!F37*50%)</f>
        <v>34668</v>
      </c>
      <c r="J37" s="174" t="s">
        <v>415</v>
      </c>
      <c r="K37" s="169"/>
      <c r="L37" s="169"/>
      <c r="M37" s="169"/>
      <c r="N37" s="175"/>
      <c r="O37" s="195"/>
      <c r="Q37" s="178"/>
      <c r="R37" s="179"/>
      <c r="S37" s="178"/>
      <c r="T37" s="179"/>
      <c r="U37" s="179"/>
    </row>
    <row r="38" spans="1:21" ht="21.65" customHeight="1" x14ac:dyDescent="0.25">
      <c r="A38" s="180">
        <v>35</v>
      </c>
      <c r="B38" s="170" t="s">
        <v>225</v>
      </c>
      <c r="C38" s="171" t="s">
        <v>414</v>
      </c>
      <c r="D38" s="172"/>
      <c r="E38" s="172"/>
      <c r="F38" s="173">
        <f>'报告表格信用 (2)'!D38*'报告表格信用 (2)'!E38/365</f>
        <v>1512328.7671232878</v>
      </c>
      <c r="G38" s="173"/>
      <c r="H38" s="173">
        <f t="shared" si="0"/>
        <v>27978</v>
      </c>
      <c r="I38" s="174">
        <f>INT(F38*'报告表格信用 (2)'!F38*50%)</f>
        <v>27978</v>
      </c>
      <c r="J38" s="174" t="s">
        <v>415</v>
      </c>
      <c r="K38" s="169"/>
      <c r="L38" s="169"/>
      <c r="M38" s="169"/>
      <c r="N38" s="175"/>
      <c r="O38" s="195"/>
      <c r="Q38" s="178"/>
      <c r="R38" s="179"/>
      <c r="S38" s="178"/>
      <c r="T38" s="179"/>
      <c r="U38" s="179"/>
    </row>
    <row r="39" spans="1:21" ht="21.65" customHeight="1" x14ac:dyDescent="0.25">
      <c r="A39" s="180">
        <v>36</v>
      </c>
      <c r="B39" s="170" t="s">
        <v>225</v>
      </c>
      <c r="C39" s="171" t="s">
        <v>446</v>
      </c>
      <c r="D39" s="172"/>
      <c r="E39" s="169"/>
      <c r="F39" s="173">
        <f>'报告表格信用 (2)'!D39*'报告表格信用 (2)'!E39/365</f>
        <v>1438356.1643835616</v>
      </c>
      <c r="G39" s="173"/>
      <c r="H39" s="173">
        <f t="shared" si="0"/>
        <v>26609</v>
      </c>
      <c r="I39" s="174">
        <f>INT(F39*'报告表格信用 (2)'!F39*50%)</f>
        <v>26609</v>
      </c>
      <c r="J39" s="174" t="s">
        <v>415</v>
      </c>
      <c r="K39" s="169"/>
      <c r="L39" s="169"/>
      <c r="M39" s="169"/>
      <c r="N39" s="175"/>
      <c r="O39" s="195"/>
      <c r="Q39" s="178"/>
      <c r="R39" s="179"/>
      <c r="S39" s="178"/>
      <c r="T39" s="179"/>
      <c r="U39" s="179"/>
    </row>
    <row r="40" spans="1:21" ht="21.65" customHeight="1" x14ac:dyDescent="0.25">
      <c r="A40" s="180">
        <v>37</v>
      </c>
      <c r="B40" s="170" t="s">
        <v>427</v>
      </c>
      <c r="C40" s="171" t="s">
        <v>447</v>
      </c>
      <c r="D40" s="172"/>
      <c r="E40" s="172"/>
      <c r="F40" s="173">
        <f>'报告表格信用 (2)'!D40*'报告表格信用 (2)'!E40/365</f>
        <v>5232876.7123287674</v>
      </c>
      <c r="G40" s="173"/>
      <c r="H40" s="173">
        <f t="shared" si="0"/>
        <v>94191</v>
      </c>
      <c r="I40" s="174">
        <f>INT(F40*'报告表格信用 (2)'!F40*50%)</f>
        <v>94191</v>
      </c>
      <c r="J40" s="174" t="s">
        <v>415</v>
      </c>
      <c r="K40" s="169"/>
      <c r="L40" s="169"/>
      <c r="M40" s="169"/>
      <c r="N40" s="175"/>
      <c r="O40" s="195"/>
      <c r="Q40" s="178"/>
      <c r="R40" s="179"/>
      <c r="S40" s="178"/>
      <c r="T40" s="179"/>
      <c r="U40" s="179"/>
    </row>
    <row r="41" spans="1:21" ht="21.65" customHeight="1" x14ac:dyDescent="0.25">
      <c r="A41" s="180">
        <v>38</v>
      </c>
      <c r="B41" s="170" t="s">
        <v>428</v>
      </c>
      <c r="C41" s="171" t="s">
        <v>448</v>
      </c>
      <c r="D41" s="172"/>
      <c r="E41" s="169"/>
      <c r="F41" s="173">
        <f>'报告表格信用 (2)'!D41*'报告表格信用 (2)'!E41/365</f>
        <v>4120547.9452054794</v>
      </c>
      <c r="G41" s="173"/>
      <c r="H41" s="173">
        <f t="shared" si="0"/>
        <v>76230</v>
      </c>
      <c r="I41" s="174">
        <f>INT(F41*'报告表格信用 (2)'!F41*50%)</f>
        <v>76230</v>
      </c>
      <c r="J41" s="174" t="s">
        <v>415</v>
      </c>
      <c r="K41" s="169"/>
      <c r="L41" s="169"/>
      <c r="M41" s="169"/>
      <c r="N41" s="175"/>
      <c r="O41" s="195"/>
      <c r="Q41" s="178"/>
      <c r="R41" s="179"/>
      <c r="S41" s="178"/>
      <c r="T41" s="179"/>
      <c r="U41" s="179"/>
    </row>
    <row r="42" spans="1:21" ht="21.65" customHeight="1" x14ac:dyDescent="0.25">
      <c r="A42" s="180">
        <v>39</v>
      </c>
      <c r="B42" s="170" t="s">
        <v>429</v>
      </c>
      <c r="C42" s="171" t="s">
        <v>449</v>
      </c>
      <c r="D42" s="172"/>
      <c r="E42" s="172"/>
      <c r="F42" s="173">
        <f>'报告表格信用 (2)'!D42*'报告表格信用 (2)'!E42/365</f>
        <v>2630136.98630137</v>
      </c>
      <c r="G42" s="173"/>
      <c r="H42" s="173">
        <f t="shared" si="0"/>
        <v>48657</v>
      </c>
      <c r="I42" s="174">
        <f>INT(F42*'报告表格信用 (2)'!F42*50%)</f>
        <v>48657</v>
      </c>
      <c r="J42" s="174" t="s">
        <v>415</v>
      </c>
      <c r="K42" s="169"/>
      <c r="L42" s="169"/>
      <c r="M42" s="169"/>
      <c r="N42" s="175"/>
      <c r="O42" s="195"/>
      <c r="Q42" s="178"/>
      <c r="R42" s="179"/>
      <c r="S42" s="178"/>
      <c r="T42" s="179"/>
      <c r="U42" s="179"/>
    </row>
    <row r="43" spans="1:21" ht="21.65" customHeight="1" x14ac:dyDescent="0.25">
      <c r="A43" s="180">
        <v>40</v>
      </c>
      <c r="B43" s="170" t="s">
        <v>230</v>
      </c>
      <c r="C43" s="171" t="s">
        <v>231</v>
      </c>
      <c r="D43" s="172"/>
      <c r="E43" s="172"/>
      <c r="F43" s="173">
        <f>'报告表格信用 (2)'!D43*'报告表格信用 (2)'!E43/365</f>
        <v>799284.1369863014</v>
      </c>
      <c r="G43" s="173"/>
      <c r="H43" s="173">
        <f t="shared" si="0"/>
        <v>14786</v>
      </c>
      <c r="I43" s="174">
        <f>INT(F43*'报告表格信用 (2)'!F43*50%)</f>
        <v>14786</v>
      </c>
      <c r="J43" s="174" t="s">
        <v>415</v>
      </c>
      <c r="K43" s="169"/>
      <c r="L43" s="169"/>
      <c r="M43" s="169"/>
      <c r="N43" s="175"/>
      <c r="O43" s="195"/>
      <c r="Q43" s="178"/>
      <c r="R43" s="179"/>
      <c r="S43" s="178"/>
      <c r="T43" s="179"/>
      <c r="U43" s="179"/>
    </row>
    <row r="44" spans="1:21" ht="21.65" customHeight="1" x14ac:dyDescent="0.25">
      <c r="A44" s="180">
        <v>41</v>
      </c>
      <c r="B44" s="170" t="s">
        <v>230</v>
      </c>
      <c r="C44" s="171" t="s">
        <v>231</v>
      </c>
      <c r="D44" s="172"/>
      <c r="E44" s="169"/>
      <c r="F44" s="173">
        <f>'报告表格信用 (2)'!D44*'报告表格信用 (2)'!E44/365</f>
        <v>72437.465753424651</v>
      </c>
      <c r="G44" s="173"/>
      <c r="H44" s="173">
        <f t="shared" si="0"/>
        <v>1340</v>
      </c>
      <c r="I44" s="174">
        <f>INT(F44*'报告表格信用 (2)'!F44*50%)</f>
        <v>1340</v>
      </c>
      <c r="J44" s="174" t="s">
        <v>415</v>
      </c>
      <c r="K44" s="169"/>
      <c r="L44" s="169"/>
      <c r="M44" s="169"/>
      <c r="N44" s="175"/>
      <c r="O44" s="195"/>
      <c r="Q44" s="178"/>
      <c r="R44" s="179"/>
      <c r="S44" s="178"/>
      <c r="T44" s="179"/>
      <c r="U44" s="179"/>
    </row>
    <row r="45" spans="1:21" ht="21.65" customHeight="1" x14ac:dyDescent="0.25">
      <c r="A45" s="180">
        <v>42</v>
      </c>
      <c r="B45" s="170" t="s">
        <v>430</v>
      </c>
      <c r="C45" s="171" t="s">
        <v>51</v>
      </c>
      <c r="D45" s="172"/>
      <c r="E45" s="172"/>
      <c r="F45" s="173">
        <f>'报告表格信用 (2)'!D45*'报告表格信用 (2)'!E45/365</f>
        <v>2465753.4246575343</v>
      </c>
      <c r="G45" s="173"/>
      <c r="H45" s="173">
        <f t="shared" si="0"/>
        <v>45616</v>
      </c>
      <c r="I45" s="174">
        <f>INT(F45*'报告表格信用 (2)'!F45*50%)</f>
        <v>45616</v>
      </c>
      <c r="J45" s="174" t="s">
        <v>415</v>
      </c>
      <c r="K45" s="169"/>
      <c r="L45" s="169"/>
      <c r="M45" s="169"/>
      <c r="N45" s="175"/>
      <c r="O45" s="195"/>
      <c r="Q45" s="178"/>
      <c r="R45" s="179"/>
      <c r="S45" s="178"/>
      <c r="T45" s="179"/>
      <c r="U45" s="179"/>
    </row>
    <row r="46" spans="1:21" ht="21.65" customHeight="1" x14ac:dyDescent="0.25">
      <c r="A46" s="180">
        <v>43</v>
      </c>
      <c r="B46" s="170" t="s">
        <v>431</v>
      </c>
      <c r="C46" s="171" t="s">
        <v>450</v>
      </c>
      <c r="D46" s="172"/>
      <c r="E46" s="172"/>
      <c r="F46" s="173">
        <f>'报告表格信用 (2)'!D46*'报告表格信用 (2)'!E46/365</f>
        <v>2739726.0273972601</v>
      </c>
      <c r="G46" s="173"/>
      <c r="H46" s="173">
        <f t="shared" si="0"/>
        <v>47945</v>
      </c>
      <c r="I46" s="174">
        <f>INT(F46*'报告表格信用 (2)'!F46*50%)</f>
        <v>47945</v>
      </c>
      <c r="J46" s="174" t="s">
        <v>415</v>
      </c>
      <c r="K46" s="169"/>
      <c r="L46" s="169"/>
      <c r="M46" s="169"/>
      <c r="N46" s="175"/>
      <c r="O46" s="195"/>
      <c r="Q46" s="178"/>
      <c r="R46" s="179"/>
      <c r="S46" s="178"/>
      <c r="T46" s="179"/>
      <c r="U46" s="179"/>
    </row>
    <row r="47" spans="1:21" ht="21.65" customHeight="1" x14ac:dyDescent="0.25">
      <c r="A47" s="180">
        <v>44</v>
      </c>
      <c r="B47" s="170" t="s">
        <v>432</v>
      </c>
      <c r="C47" s="171" t="s">
        <v>451</v>
      </c>
      <c r="D47" s="172"/>
      <c r="E47" s="169"/>
      <c r="F47" s="173">
        <f>'报告表格信用 (2)'!D47*'报告表格信用 (2)'!E47/365</f>
        <v>5123287.6712328764</v>
      </c>
      <c r="G47" s="173"/>
      <c r="H47" s="173">
        <f t="shared" si="0"/>
        <v>94780</v>
      </c>
      <c r="I47" s="174">
        <f>INT(F47*'报告表格信用 (2)'!F47*50%)</f>
        <v>94780</v>
      </c>
      <c r="J47" s="174" t="s">
        <v>415</v>
      </c>
      <c r="K47" s="169"/>
      <c r="L47" s="169"/>
      <c r="M47" s="169"/>
      <c r="N47" s="175"/>
      <c r="O47" s="195"/>
      <c r="Q47" s="178"/>
      <c r="R47" s="179"/>
      <c r="S47" s="178"/>
      <c r="T47" s="179"/>
      <c r="U47" s="179"/>
    </row>
    <row r="48" spans="1:21" ht="21.65" customHeight="1" x14ac:dyDescent="0.25">
      <c r="A48" s="180">
        <v>45</v>
      </c>
      <c r="B48" s="170" t="s">
        <v>433</v>
      </c>
      <c r="C48" s="171" t="s">
        <v>451</v>
      </c>
      <c r="D48" s="172"/>
      <c r="E48" s="172"/>
      <c r="F48" s="173">
        <f>'报告表格信用 (2)'!D48*'报告表格信用 (2)'!E48/365</f>
        <v>1989041.0958904109</v>
      </c>
      <c r="G48" s="173"/>
      <c r="H48" s="173">
        <f t="shared" si="0"/>
        <v>36797</v>
      </c>
      <c r="I48" s="174">
        <f>INT(F48*'报告表格信用 (2)'!F48*50%)</f>
        <v>36797</v>
      </c>
      <c r="J48" s="174" t="s">
        <v>415</v>
      </c>
      <c r="K48" s="169"/>
      <c r="L48" s="169"/>
      <c r="M48" s="169"/>
      <c r="N48" s="175"/>
      <c r="O48" s="195"/>
      <c r="Q48" s="178"/>
      <c r="R48" s="179"/>
      <c r="S48" s="178"/>
      <c r="T48" s="179"/>
      <c r="U48" s="179"/>
    </row>
    <row r="49" spans="1:21" ht="21.65" customHeight="1" x14ac:dyDescent="0.25">
      <c r="A49" s="180">
        <v>46</v>
      </c>
      <c r="B49" s="170" t="s">
        <v>418</v>
      </c>
      <c r="C49" s="171" t="s">
        <v>19</v>
      </c>
      <c r="D49" s="172"/>
      <c r="E49" s="172"/>
      <c r="F49" s="173">
        <f>'报告表格信用 (2)'!D49*'报告表格信用 (2)'!E49/365</f>
        <v>2520547.9452054794</v>
      </c>
      <c r="G49" s="173"/>
      <c r="H49" s="173">
        <f t="shared" si="0"/>
        <v>46630</v>
      </c>
      <c r="I49" s="174">
        <f>INT(F49*'报告表格信用 (2)'!F49*50%)</f>
        <v>46630</v>
      </c>
      <c r="J49" s="174" t="s">
        <v>415</v>
      </c>
      <c r="K49" s="169"/>
      <c r="L49" s="169"/>
      <c r="M49" s="169"/>
      <c r="N49" s="175"/>
      <c r="O49" s="195"/>
      <c r="Q49" s="178"/>
      <c r="R49" s="179"/>
      <c r="S49" s="178"/>
      <c r="T49" s="179"/>
      <c r="U49" s="179"/>
    </row>
    <row r="50" spans="1:21" ht="21.65" customHeight="1" x14ac:dyDescent="0.25">
      <c r="A50" s="180">
        <v>47</v>
      </c>
      <c r="B50" s="170" t="s">
        <v>418</v>
      </c>
      <c r="C50" s="171" t="s">
        <v>449</v>
      </c>
      <c r="D50" s="172"/>
      <c r="E50" s="169"/>
      <c r="F50" s="173">
        <f>'报告表格信用 (2)'!D50*'报告表格信用 (2)'!E50/365</f>
        <v>2328767.1232876712</v>
      </c>
      <c r="G50" s="173"/>
      <c r="H50" s="173">
        <f t="shared" si="0"/>
        <v>43082</v>
      </c>
      <c r="I50" s="174">
        <f>INT(F50*'报告表格信用 (2)'!F50*50%)</f>
        <v>43082</v>
      </c>
      <c r="J50" s="174" t="s">
        <v>415</v>
      </c>
      <c r="K50" s="169"/>
      <c r="L50" s="169"/>
      <c r="M50" s="169"/>
      <c r="N50" s="175"/>
      <c r="O50" s="195"/>
      <c r="Q50" s="178"/>
      <c r="R50" s="179"/>
      <c r="S50" s="178"/>
      <c r="T50" s="179"/>
      <c r="U50" s="179"/>
    </row>
    <row r="51" spans="1:21" ht="21.65" customHeight="1" x14ac:dyDescent="0.25">
      <c r="A51" s="180">
        <v>48</v>
      </c>
      <c r="B51" s="170" t="s">
        <v>434</v>
      </c>
      <c r="C51" s="171" t="s">
        <v>452</v>
      </c>
      <c r="D51" s="172"/>
      <c r="E51" s="172"/>
      <c r="F51" s="173">
        <f>'报告表格信用 (2)'!D51*'报告表格信用 (2)'!E51/365</f>
        <v>2328767.1232876712</v>
      </c>
      <c r="G51" s="173"/>
      <c r="H51" s="173">
        <f t="shared" si="0"/>
        <v>43082</v>
      </c>
      <c r="I51" s="174">
        <f>INT(F51*'报告表格信用 (2)'!F51*50%)</f>
        <v>43082</v>
      </c>
      <c r="J51" s="174" t="s">
        <v>415</v>
      </c>
      <c r="K51" s="169"/>
      <c r="L51" s="169"/>
      <c r="M51" s="169"/>
      <c r="N51" s="175"/>
      <c r="O51" s="195"/>
      <c r="Q51" s="178"/>
      <c r="R51" s="179"/>
      <c r="S51" s="178"/>
      <c r="T51" s="179"/>
      <c r="U51" s="179"/>
    </row>
    <row r="52" spans="1:21" ht="21.65" customHeight="1" x14ac:dyDescent="0.25">
      <c r="A52" s="180">
        <v>49</v>
      </c>
      <c r="B52" s="170" t="s">
        <v>435</v>
      </c>
      <c r="C52" s="171" t="s">
        <v>19</v>
      </c>
      <c r="D52" s="172"/>
      <c r="E52" s="172"/>
      <c r="F52" s="173">
        <f>'报告表格信用 (2)'!D52*'报告表格信用 (2)'!E52/365</f>
        <v>2383561.6438356163</v>
      </c>
      <c r="G52" s="173"/>
      <c r="H52" s="173">
        <f t="shared" si="0"/>
        <v>44095</v>
      </c>
      <c r="I52" s="174">
        <f>INT(F52*'报告表格信用 (2)'!F52*50%)</f>
        <v>44095</v>
      </c>
      <c r="J52" s="174" t="s">
        <v>415</v>
      </c>
      <c r="K52" s="169"/>
      <c r="L52" s="169"/>
      <c r="M52" s="169"/>
      <c r="N52" s="175"/>
      <c r="O52" s="195"/>
      <c r="Q52" s="178"/>
      <c r="R52" s="179"/>
      <c r="S52" s="178"/>
      <c r="T52" s="179"/>
      <c r="U52" s="179"/>
    </row>
    <row r="53" spans="1:21" ht="21.65" customHeight="1" x14ac:dyDescent="0.25">
      <c r="A53" s="180">
        <v>50</v>
      </c>
      <c r="B53" s="170" t="s">
        <v>435</v>
      </c>
      <c r="C53" s="171" t="s">
        <v>453</v>
      </c>
      <c r="D53" s="172"/>
      <c r="E53" s="169"/>
      <c r="F53" s="173">
        <f>'报告表格信用 (2)'!D53*'报告表格信用 (2)'!E53/365</f>
        <v>3876712.3287671232</v>
      </c>
      <c r="G53" s="173"/>
      <c r="H53" s="173">
        <f t="shared" si="0"/>
        <v>71719</v>
      </c>
      <c r="I53" s="174">
        <f>INT(F53*'报告表格信用 (2)'!F53*50%)</f>
        <v>71719</v>
      </c>
      <c r="J53" s="174" t="s">
        <v>415</v>
      </c>
      <c r="K53" s="169"/>
      <c r="L53" s="169"/>
      <c r="M53" s="169"/>
      <c r="N53" s="175"/>
      <c r="O53" s="195"/>
      <c r="Q53" s="178"/>
      <c r="R53" s="179"/>
      <c r="S53" s="178"/>
      <c r="T53" s="179"/>
      <c r="U53" s="179"/>
    </row>
    <row r="54" spans="1:21" ht="21.65" customHeight="1" x14ac:dyDescent="0.25">
      <c r="A54" s="180">
        <v>51</v>
      </c>
      <c r="B54" s="170" t="s">
        <v>436</v>
      </c>
      <c r="C54" s="171" t="s">
        <v>454</v>
      </c>
      <c r="D54" s="172"/>
      <c r="E54" s="172"/>
      <c r="F54" s="173">
        <f>'报告表格信用 (2)'!D54*'报告表格信用 (2)'!E54/365</f>
        <v>5047671.2328767125</v>
      </c>
      <c r="G54" s="173"/>
      <c r="H54" s="173">
        <f t="shared" si="0"/>
        <v>93381</v>
      </c>
      <c r="I54" s="174">
        <f>INT(F54*'报告表格信用 (2)'!F54*50%)</f>
        <v>93381</v>
      </c>
      <c r="J54" s="174" t="s">
        <v>415</v>
      </c>
      <c r="K54" s="169"/>
      <c r="L54" s="169"/>
      <c r="M54" s="169"/>
      <c r="N54" s="175"/>
      <c r="O54" s="195"/>
      <c r="Q54" s="178"/>
      <c r="R54" s="179"/>
      <c r="S54" s="178"/>
      <c r="T54" s="179"/>
      <c r="U54" s="179"/>
    </row>
    <row r="55" spans="1:21" ht="21.65" customHeight="1" x14ac:dyDescent="0.25">
      <c r="A55" s="180">
        <v>52</v>
      </c>
      <c r="B55" s="170" t="s">
        <v>26</v>
      </c>
      <c r="C55" s="171" t="s">
        <v>27</v>
      </c>
      <c r="D55" s="172"/>
      <c r="E55" s="172"/>
      <c r="F55" s="173">
        <f>'报告表格信用 (2)'!D55*'报告表格信用 (2)'!E55/365</f>
        <v>1471232.8767123288</v>
      </c>
      <c r="G55" s="173"/>
      <c r="H55" s="173">
        <f t="shared" si="0"/>
        <v>27217</v>
      </c>
      <c r="I55" s="174">
        <f>INT(F55*'报告表格信用 (2)'!F55*50%)</f>
        <v>27217</v>
      </c>
      <c r="J55" s="174" t="s">
        <v>415</v>
      </c>
      <c r="K55" s="169"/>
      <c r="L55" s="169"/>
      <c r="M55" s="169"/>
      <c r="N55" s="175"/>
      <c r="O55" s="195"/>
      <c r="Q55" s="178"/>
      <c r="R55" s="179"/>
      <c r="S55" s="178"/>
      <c r="T55" s="179"/>
      <c r="U55" s="179"/>
    </row>
    <row r="56" spans="1:21" ht="21.65" customHeight="1" x14ac:dyDescent="0.25">
      <c r="A56" s="180">
        <v>53</v>
      </c>
      <c r="B56" s="170" t="s">
        <v>26</v>
      </c>
      <c r="C56" s="171" t="s">
        <v>27</v>
      </c>
      <c r="D56" s="172"/>
      <c r="E56" s="169"/>
      <c r="F56" s="173">
        <f>'报告表格信用 (2)'!D56*'报告表格信用 (2)'!E56/365</f>
        <v>73972.602739726033</v>
      </c>
      <c r="G56" s="173"/>
      <c r="H56" s="173">
        <f t="shared" si="0"/>
        <v>1368</v>
      </c>
      <c r="I56" s="174">
        <f>INT(F56*'报告表格信用 (2)'!F56*50%)</f>
        <v>1368</v>
      </c>
      <c r="J56" s="174" t="s">
        <v>415</v>
      </c>
      <c r="K56" s="169"/>
      <c r="L56" s="169"/>
      <c r="M56" s="169"/>
      <c r="N56" s="175"/>
      <c r="O56" s="195"/>
      <c r="Q56" s="178"/>
      <c r="R56" s="179"/>
      <c r="S56" s="178"/>
      <c r="T56" s="179"/>
      <c r="U56" s="179"/>
    </row>
    <row r="57" spans="1:21" ht="21.65" customHeight="1" x14ac:dyDescent="0.25">
      <c r="A57" s="180">
        <v>54</v>
      </c>
      <c r="B57" s="170" t="s">
        <v>26</v>
      </c>
      <c r="C57" s="171" t="s">
        <v>30</v>
      </c>
      <c r="D57" s="172"/>
      <c r="E57" s="172"/>
      <c r="F57" s="173">
        <f>'报告表格信用 (2)'!D57*'报告表格信用 (2)'!E57/365</f>
        <v>1084931.506849315</v>
      </c>
      <c r="G57" s="173"/>
      <c r="H57" s="173">
        <f t="shared" si="0"/>
        <v>20071</v>
      </c>
      <c r="I57" s="174">
        <f>INT(F57*'报告表格信用 (2)'!F57*50%)</f>
        <v>20071</v>
      </c>
      <c r="J57" s="174" t="s">
        <v>415</v>
      </c>
      <c r="K57" s="169"/>
      <c r="L57" s="169"/>
      <c r="M57" s="169"/>
      <c r="N57" s="175"/>
      <c r="O57" s="195"/>
      <c r="Q57" s="178"/>
      <c r="R57" s="179"/>
      <c r="S57" s="178"/>
      <c r="T57" s="179"/>
      <c r="U57" s="179"/>
    </row>
    <row r="58" spans="1:21" ht="21.65" customHeight="1" x14ac:dyDescent="0.25">
      <c r="A58" s="180">
        <v>55</v>
      </c>
      <c r="B58" s="170" t="s">
        <v>437</v>
      </c>
      <c r="C58" s="171" t="s">
        <v>19</v>
      </c>
      <c r="D58" s="172"/>
      <c r="E58" s="172"/>
      <c r="F58" s="173">
        <f>'报告表格信用 (2)'!D58*'报告表格信用 (2)'!E58/365</f>
        <v>2671232.8767123288</v>
      </c>
      <c r="G58" s="173"/>
      <c r="H58" s="173">
        <f t="shared" si="0"/>
        <v>49417</v>
      </c>
      <c r="I58" s="174">
        <f>INT(F58*'报告表格信用 (2)'!F58*50%)</f>
        <v>49417</v>
      </c>
      <c r="J58" s="174" t="s">
        <v>415</v>
      </c>
      <c r="K58" s="169"/>
      <c r="L58" s="169"/>
      <c r="M58" s="169"/>
      <c r="N58" s="175"/>
      <c r="O58" s="195"/>
      <c r="Q58" s="178"/>
      <c r="R58" s="179"/>
      <c r="S58" s="178"/>
      <c r="T58" s="179"/>
      <c r="U58" s="179"/>
    </row>
    <row r="59" spans="1:21" ht="21.65" customHeight="1" x14ac:dyDescent="0.25">
      <c r="A59" s="180">
        <v>56</v>
      </c>
      <c r="B59" s="170" t="s">
        <v>438</v>
      </c>
      <c r="C59" s="171" t="s">
        <v>33</v>
      </c>
      <c r="D59" s="172"/>
      <c r="E59" s="169"/>
      <c r="F59" s="173">
        <f>'报告表格信用 (2)'!D59*'报告表格信用 (2)'!E59/365</f>
        <v>1194520.5479452056</v>
      </c>
      <c r="G59" s="173"/>
      <c r="H59" s="173">
        <f t="shared" si="0"/>
        <v>22098</v>
      </c>
      <c r="I59" s="174">
        <f>INT(F59*'报告表格信用 (2)'!F59*50%)</f>
        <v>22098</v>
      </c>
      <c r="J59" s="174" t="s">
        <v>415</v>
      </c>
      <c r="K59" s="169"/>
      <c r="L59" s="169"/>
      <c r="M59" s="169"/>
      <c r="N59" s="175"/>
      <c r="O59" s="195"/>
      <c r="Q59" s="178"/>
      <c r="R59" s="179"/>
      <c r="S59" s="178"/>
      <c r="T59" s="179"/>
      <c r="U59" s="179"/>
    </row>
    <row r="60" spans="1:21" ht="21.65" customHeight="1" x14ac:dyDescent="0.25">
      <c r="A60" s="180">
        <v>57</v>
      </c>
      <c r="B60" s="170" t="s">
        <v>38</v>
      </c>
      <c r="C60" s="171" t="s">
        <v>19</v>
      </c>
      <c r="D60" s="172"/>
      <c r="E60" s="172"/>
      <c r="F60" s="173">
        <f>'报告表格信用 (2)'!D60*'报告表格信用 (2)'!E60/365</f>
        <v>2739726.0273972601</v>
      </c>
      <c r="G60" s="173"/>
      <c r="H60" s="173">
        <f t="shared" si="0"/>
        <v>50684</v>
      </c>
      <c r="I60" s="174">
        <f>INT(F60*'报告表格信用 (2)'!F60*50%)</f>
        <v>50684</v>
      </c>
      <c r="J60" s="174" t="s">
        <v>415</v>
      </c>
      <c r="K60" s="169"/>
      <c r="L60" s="169"/>
      <c r="M60" s="169"/>
      <c r="N60" s="175"/>
      <c r="O60" s="195"/>
      <c r="Q60" s="178"/>
      <c r="R60" s="179"/>
      <c r="S60" s="178"/>
      <c r="T60" s="179"/>
      <c r="U60" s="179"/>
    </row>
    <row r="61" spans="1:21" ht="21.65" customHeight="1" x14ac:dyDescent="0.25">
      <c r="A61" s="180">
        <v>58</v>
      </c>
      <c r="B61" s="170" t="s">
        <v>38</v>
      </c>
      <c r="C61" s="171" t="s">
        <v>40</v>
      </c>
      <c r="D61" s="172"/>
      <c r="E61" s="172"/>
      <c r="F61" s="173">
        <f>'报告表格信用 (2)'!D61*'报告表格信用 (2)'!E61/365</f>
        <v>2657534.2465753425</v>
      </c>
      <c r="G61" s="173"/>
      <c r="H61" s="173">
        <f t="shared" si="0"/>
        <v>49164</v>
      </c>
      <c r="I61" s="174">
        <f>INT(F61*'报告表格信用 (2)'!F61*50%)</f>
        <v>49164</v>
      </c>
      <c r="J61" s="174" t="s">
        <v>415</v>
      </c>
      <c r="K61" s="169"/>
      <c r="L61" s="169"/>
      <c r="M61" s="169"/>
      <c r="N61" s="175"/>
      <c r="O61" s="195"/>
      <c r="Q61" s="178"/>
      <c r="R61" s="179"/>
      <c r="S61" s="178"/>
      <c r="T61" s="179"/>
      <c r="U61" s="179"/>
    </row>
    <row r="62" spans="1:21" ht="21.65" customHeight="1" x14ac:dyDescent="0.25">
      <c r="A62" s="180">
        <v>59</v>
      </c>
      <c r="B62" s="170" t="s">
        <v>45</v>
      </c>
      <c r="C62" s="171" t="s">
        <v>33</v>
      </c>
      <c r="D62" s="172"/>
      <c r="E62" s="169"/>
      <c r="F62" s="173">
        <f>'报告表格信用 (2)'!D62*'报告表格信用 (2)'!E62/365</f>
        <v>2767123.2876712331</v>
      </c>
      <c r="G62" s="173"/>
      <c r="H62" s="173">
        <f t="shared" si="0"/>
        <v>51191</v>
      </c>
      <c r="I62" s="174">
        <f>INT(F62*'报告表格信用 (2)'!F62*50%)</f>
        <v>51191</v>
      </c>
      <c r="J62" s="174" t="s">
        <v>415</v>
      </c>
      <c r="K62" s="169"/>
      <c r="L62" s="169"/>
      <c r="M62" s="169"/>
      <c r="N62" s="175"/>
      <c r="O62" s="195"/>
      <c r="Q62" s="178"/>
      <c r="R62" s="179"/>
      <c r="S62" s="178"/>
      <c r="T62" s="179"/>
      <c r="U62" s="179"/>
    </row>
    <row r="63" spans="1:21" ht="21.65" customHeight="1" x14ac:dyDescent="0.25">
      <c r="A63" s="180">
        <v>60</v>
      </c>
      <c r="B63" s="170" t="s">
        <v>50</v>
      </c>
      <c r="C63" s="171" t="s">
        <v>51</v>
      </c>
      <c r="D63" s="172"/>
      <c r="E63" s="172"/>
      <c r="F63" s="173">
        <f>'报告表格信用 (2)'!D63*'报告表格信用 (2)'!E63/365</f>
        <v>1691780.8219178081</v>
      </c>
      <c r="G63" s="173"/>
      <c r="H63" s="173">
        <f t="shared" si="0"/>
        <v>30875</v>
      </c>
      <c r="I63" s="174">
        <f>INT(F63*'报告表格信用 (2)'!F63*50%)</f>
        <v>30875</v>
      </c>
      <c r="J63" s="174" t="s">
        <v>415</v>
      </c>
      <c r="K63" s="169"/>
      <c r="L63" s="169"/>
      <c r="M63" s="169"/>
      <c r="N63" s="175"/>
      <c r="O63" s="195"/>
      <c r="Q63" s="178"/>
      <c r="R63" s="179"/>
      <c r="S63" s="178"/>
      <c r="T63" s="179"/>
      <c r="U63" s="179"/>
    </row>
    <row r="64" spans="1:21" ht="21.65" customHeight="1" x14ac:dyDescent="0.25">
      <c r="A64" s="180">
        <v>61</v>
      </c>
      <c r="B64" s="170" t="s">
        <v>57</v>
      </c>
      <c r="C64" s="171" t="s">
        <v>51</v>
      </c>
      <c r="D64" s="172"/>
      <c r="E64" s="172"/>
      <c r="F64" s="173">
        <f>'报告表格信用 (2)'!D64*'报告表格信用 (2)'!E64/365</f>
        <v>4098630.1369863013</v>
      </c>
      <c r="G64" s="173"/>
      <c r="H64" s="173">
        <f t="shared" si="0"/>
        <v>75414</v>
      </c>
      <c r="I64" s="174">
        <f>INT(F64*'报告表格信用 (2)'!F64*50%)</f>
        <v>75414</v>
      </c>
      <c r="J64" s="174" t="s">
        <v>415</v>
      </c>
      <c r="K64" s="169"/>
      <c r="L64" s="169"/>
      <c r="M64" s="169"/>
      <c r="N64" s="175"/>
      <c r="O64" s="195"/>
      <c r="Q64" s="178"/>
      <c r="R64" s="179"/>
      <c r="S64" s="178"/>
      <c r="T64" s="179"/>
      <c r="U64" s="179"/>
    </row>
    <row r="65" spans="1:22" ht="21.65" customHeight="1" x14ac:dyDescent="0.25">
      <c r="A65" s="180">
        <v>62</v>
      </c>
      <c r="B65" s="170" t="s">
        <v>64</v>
      </c>
      <c r="C65" s="171" t="s">
        <v>30</v>
      </c>
      <c r="D65" s="172"/>
      <c r="E65" s="169"/>
      <c r="F65" s="173">
        <f>'报告表格信用 (2)'!D65*'报告表格信用 (2)'!E65/365</f>
        <v>1794520.5479452056</v>
      </c>
      <c r="G65" s="173"/>
      <c r="H65" s="173">
        <f t="shared" si="0"/>
        <v>33198</v>
      </c>
      <c r="I65" s="174">
        <f>INT(F65*'报告表格信用 (2)'!F65*50%)</f>
        <v>33198</v>
      </c>
      <c r="J65" s="174" t="s">
        <v>415</v>
      </c>
      <c r="K65" s="169"/>
      <c r="L65" s="169"/>
      <c r="M65" s="169"/>
      <c r="N65" s="175"/>
      <c r="O65" s="195"/>
      <c r="Q65" s="178"/>
      <c r="R65" s="179"/>
      <c r="S65" s="178"/>
      <c r="T65" s="179"/>
      <c r="U65" s="179"/>
    </row>
    <row r="66" spans="1:22" ht="21.65" customHeight="1" x14ac:dyDescent="0.25">
      <c r="A66" s="180">
        <v>63</v>
      </c>
      <c r="B66" s="170" t="s">
        <v>64</v>
      </c>
      <c r="C66" s="171" t="s">
        <v>22</v>
      </c>
      <c r="D66" s="172"/>
      <c r="E66" s="172"/>
      <c r="F66" s="173">
        <f>'报告表格信用 (2)'!D66*'报告表格信用 (2)'!E66/365</f>
        <v>1602739.7260273972</v>
      </c>
      <c r="G66" s="173"/>
      <c r="H66" s="173">
        <f t="shared" si="0"/>
        <v>29650</v>
      </c>
      <c r="I66" s="174">
        <f>INT(F66*'报告表格信用 (2)'!F66*50%)</f>
        <v>29650</v>
      </c>
      <c r="J66" s="174" t="s">
        <v>415</v>
      </c>
      <c r="K66" s="169"/>
      <c r="L66" s="169"/>
      <c r="M66" s="169"/>
      <c r="N66" s="175"/>
      <c r="O66" s="195"/>
      <c r="Q66" s="178"/>
      <c r="R66" s="179"/>
      <c r="S66" s="178"/>
      <c r="T66" s="179"/>
      <c r="U66" s="179"/>
    </row>
    <row r="67" spans="1:22" ht="21.65" customHeight="1" x14ac:dyDescent="0.25">
      <c r="A67" s="180">
        <v>64</v>
      </c>
      <c r="B67" s="170" t="s">
        <v>475</v>
      </c>
      <c r="C67" s="171" t="s">
        <v>460</v>
      </c>
      <c r="D67" s="172"/>
      <c r="E67" s="172"/>
      <c r="F67" s="173">
        <f>'报告表格信用 (2)'!D67*'报告表格信用 (2)'!E67/365</f>
        <v>1972602.7397260275</v>
      </c>
      <c r="G67" s="173"/>
      <c r="H67" s="173">
        <f t="shared" ref="H67" si="1">I67-G67</f>
        <v>36493</v>
      </c>
      <c r="I67" s="174">
        <f>INT(F67*'报告表格信用 (2)'!F67*50%)</f>
        <v>36493</v>
      </c>
      <c r="J67" s="174" t="s">
        <v>415</v>
      </c>
      <c r="K67" s="169"/>
      <c r="L67" s="169"/>
      <c r="M67" s="169"/>
      <c r="N67" s="175"/>
      <c r="O67" s="195"/>
      <c r="Q67" s="178"/>
      <c r="R67" s="179"/>
      <c r="S67" s="178"/>
      <c r="T67" s="179"/>
      <c r="U67" s="179"/>
    </row>
    <row r="68" spans="1:22" s="177" customFormat="1" ht="21.75" customHeight="1" x14ac:dyDescent="0.25">
      <c r="A68" s="196"/>
      <c r="B68" s="175" t="s">
        <v>419</v>
      </c>
      <c r="C68" s="196"/>
      <c r="D68" s="196"/>
      <c r="E68" s="196"/>
      <c r="F68" s="197">
        <f>SUM(F3:F67)</f>
        <v>128968433.93150687</v>
      </c>
      <c r="G68" s="197">
        <f>SUM(G3:G66)</f>
        <v>0</v>
      </c>
      <c r="H68" s="197">
        <f t="shared" ref="H68:I68" si="2">SUM(H3:H67)</f>
        <v>2360821</v>
      </c>
      <c r="I68" s="197">
        <f t="shared" si="2"/>
        <v>2360821</v>
      </c>
      <c r="J68" s="197"/>
      <c r="K68" s="196"/>
      <c r="L68" s="196"/>
      <c r="M68" s="196"/>
      <c r="N68" s="196"/>
      <c r="O68" s="198"/>
      <c r="Q68" s="161"/>
      <c r="R68" s="161"/>
      <c r="S68" s="161"/>
      <c r="T68" s="161"/>
      <c r="U68" s="161"/>
      <c r="V68" s="161"/>
    </row>
    <row r="71" spans="1:22" s="177" customFormat="1" ht="17.5" x14ac:dyDescent="0.25">
      <c r="A71" s="161"/>
      <c r="B71" s="199"/>
      <c r="C71" s="161"/>
      <c r="D71" s="161"/>
      <c r="E71" s="161"/>
      <c r="F71" s="161"/>
      <c r="G71" s="200"/>
      <c r="H71" s="161"/>
      <c r="I71" s="201"/>
      <c r="J71" s="201"/>
      <c r="K71" s="161"/>
      <c r="L71" s="161"/>
      <c r="M71" s="161"/>
      <c r="N71" s="161"/>
      <c r="O71" s="202"/>
      <c r="Q71" s="161"/>
      <c r="R71" s="161"/>
      <c r="S71" s="161"/>
      <c r="T71" s="161"/>
      <c r="U71" s="161"/>
      <c r="V71" s="161"/>
    </row>
    <row r="72" spans="1:22" s="177" customFormat="1" ht="17.5" x14ac:dyDescent="0.25">
      <c r="A72" s="161"/>
      <c r="B72" s="199"/>
      <c r="C72" s="161"/>
      <c r="D72" s="161"/>
      <c r="E72" s="161"/>
      <c r="F72" s="161"/>
      <c r="G72" s="161"/>
      <c r="H72" s="161"/>
      <c r="I72" s="201"/>
      <c r="J72" s="201"/>
      <c r="K72" s="161"/>
      <c r="L72" s="161"/>
      <c r="M72" s="161"/>
      <c r="N72" s="161"/>
      <c r="O72" s="202"/>
      <c r="Q72" s="161"/>
      <c r="R72" s="161"/>
      <c r="S72" s="161"/>
      <c r="T72" s="161"/>
      <c r="U72" s="161"/>
      <c r="V72" s="161"/>
    </row>
  </sheetData>
  <mergeCells count="1">
    <mergeCell ref="A1:O1"/>
  </mergeCells>
  <phoneticPr fontId="16" type="noConversion"/>
  <pageMargins left="0.70866141732283505" right="0.70866141732283505" top="0.74803149606299202" bottom="0.74803149606299202" header="0.31496062992126" footer="0.31496062992126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6" zoomScaleNormal="100" workbookViewId="0">
      <selection activeCell="L75" sqref="L75"/>
    </sheetView>
  </sheetViews>
  <sheetFormatPr defaultColWidth="9" defaultRowHeight="14" x14ac:dyDescent="0.25"/>
  <cols>
    <col min="1" max="1" width="3.7265625" style="161" customWidth="1"/>
    <col min="2" max="2" width="38" style="199" customWidth="1"/>
    <col min="3" max="3" width="42.453125" style="161" customWidth="1"/>
    <col min="4" max="4" width="8.36328125" style="161" hidden="1" customWidth="1"/>
    <col min="5" max="5" width="9" style="161" hidden="1" customWidth="1"/>
    <col min="6" max="6" width="20" style="161" customWidth="1"/>
    <col min="7" max="7" width="18.26953125" style="161" customWidth="1"/>
    <col min="8" max="8" width="15" style="161" bestFit="1" customWidth="1"/>
    <col min="9" max="9" width="16.08984375" style="178" bestFit="1" customWidth="1"/>
    <col min="10" max="10" width="19.453125" style="178" bestFit="1" customWidth="1"/>
    <col min="11" max="11" width="9" style="161" hidden="1" customWidth="1"/>
    <col min="12" max="12" width="22.90625" style="161" hidden="1" customWidth="1"/>
    <col min="13" max="14" width="9" style="161" hidden="1" customWidth="1"/>
    <col min="15" max="15" width="20.36328125" style="202" hidden="1" customWidth="1"/>
    <col min="16" max="16" width="13.90625" style="177" hidden="1" customWidth="1"/>
    <col min="17" max="17" width="15.90625" style="161" hidden="1" customWidth="1"/>
    <col min="18" max="20" width="13.90625" style="161" hidden="1" customWidth="1"/>
    <col min="21" max="21" width="9.6328125" style="161" hidden="1" customWidth="1"/>
    <col min="22" max="22" width="15.26953125" style="161" customWidth="1"/>
    <col min="23" max="16384" width="9" style="161"/>
  </cols>
  <sheetData>
    <row r="1" spans="1:22" ht="32.15" customHeight="1" x14ac:dyDescent="0.25">
      <c r="A1" s="245" t="s">
        <v>397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160"/>
    </row>
    <row r="2" spans="1:22" s="168" customFormat="1" ht="36" x14ac:dyDescent="0.25">
      <c r="A2" s="162" t="s">
        <v>398</v>
      </c>
      <c r="B2" s="162" t="s">
        <v>399</v>
      </c>
      <c r="C2" s="162" t="s">
        <v>400</v>
      </c>
      <c r="D2" s="162" t="s">
        <v>401</v>
      </c>
      <c r="E2" s="162" t="s">
        <v>1</v>
      </c>
      <c r="F2" s="163" t="s">
        <v>402</v>
      </c>
      <c r="G2" s="163" t="s">
        <v>403</v>
      </c>
      <c r="H2" s="163" t="s">
        <v>404</v>
      </c>
      <c r="I2" s="164" t="s">
        <v>405</v>
      </c>
      <c r="J2" s="165" t="s">
        <v>406</v>
      </c>
      <c r="K2" s="162" t="s">
        <v>407</v>
      </c>
      <c r="L2" s="162" t="s">
        <v>408</v>
      </c>
      <c r="M2" s="166" t="s">
        <v>409</v>
      </c>
      <c r="N2" s="162" t="s">
        <v>410</v>
      </c>
      <c r="O2" s="162" t="s">
        <v>411</v>
      </c>
      <c r="P2" s="167"/>
      <c r="T2" s="168" t="s">
        <v>412</v>
      </c>
      <c r="U2" s="168" t="s">
        <v>413</v>
      </c>
      <c r="V2" s="165" t="s">
        <v>455</v>
      </c>
    </row>
    <row r="3" spans="1:22" ht="21.65" customHeight="1" x14ac:dyDescent="0.25">
      <c r="A3" s="169">
        <v>1</v>
      </c>
      <c r="B3" s="170" t="s">
        <v>457</v>
      </c>
      <c r="C3" s="171" t="s">
        <v>30</v>
      </c>
      <c r="D3" s="172"/>
      <c r="E3" s="172"/>
      <c r="F3" s="173">
        <f>'报告表格项目 （2）'!G2*'报告表格项目 （2）'!H2/365</f>
        <v>1603068.493150685</v>
      </c>
      <c r="G3" s="173">
        <v>185925</v>
      </c>
      <c r="H3" s="173">
        <f>I3-G3</f>
        <v>-156269</v>
      </c>
      <c r="I3" s="174">
        <f>INT(F3*'报告表格项目 （2）'!I2*50%)</f>
        <v>29656</v>
      </c>
      <c r="J3" s="174" t="s">
        <v>456</v>
      </c>
      <c r="K3" s="169"/>
      <c r="L3" s="169"/>
      <c r="M3" s="169"/>
      <c r="N3" s="175"/>
      <c r="O3" s="176" t="s">
        <v>416</v>
      </c>
      <c r="Q3" s="178"/>
      <c r="R3" s="179"/>
      <c r="S3" s="178"/>
      <c r="T3" s="179"/>
      <c r="U3" s="179"/>
      <c r="V3" s="165"/>
    </row>
    <row r="4" spans="1:22" s="189" customFormat="1" ht="21.65" customHeight="1" x14ac:dyDescent="0.25">
      <c r="A4" s="180">
        <v>2</v>
      </c>
      <c r="B4" s="181" t="s">
        <v>457</v>
      </c>
      <c r="C4" s="182" t="s">
        <v>30</v>
      </c>
      <c r="D4" s="183"/>
      <c r="E4" s="180"/>
      <c r="F4" s="173">
        <f>'报告表格项目 （2）'!G3*'报告表格项目 （2）'!H3/365</f>
        <v>1572821.9178082191</v>
      </c>
      <c r="G4" s="173"/>
      <c r="H4" s="173">
        <f t="shared" ref="H4:H47" si="0">I4-G4</f>
        <v>29097</v>
      </c>
      <c r="I4" s="174">
        <f>INT(F4*'报告表格项目 （2）'!I3*50%)</f>
        <v>29097</v>
      </c>
      <c r="J4" s="174" t="s">
        <v>456</v>
      </c>
      <c r="K4" s="180"/>
      <c r="L4" s="180"/>
      <c r="M4" s="180"/>
      <c r="N4" s="184"/>
      <c r="O4" s="185" t="s">
        <v>416</v>
      </c>
      <c r="P4" s="186"/>
      <c r="Q4" s="187"/>
      <c r="R4" s="188"/>
      <c r="S4" s="187"/>
      <c r="T4" s="188"/>
      <c r="U4" s="188"/>
      <c r="V4" s="165"/>
    </row>
    <row r="5" spans="1:22" ht="21.65" customHeight="1" x14ac:dyDescent="0.25">
      <c r="A5" s="169">
        <v>3</v>
      </c>
      <c r="B5" s="170" t="s">
        <v>457</v>
      </c>
      <c r="C5" s="190" t="s">
        <v>30</v>
      </c>
      <c r="D5" s="172"/>
      <c r="E5" s="172"/>
      <c r="F5" s="173">
        <f>'报告表格项目 （2）'!G4*'报告表格项目 （2）'!H4/365</f>
        <v>1572821.9178082191</v>
      </c>
      <c r="G5" s="173"/>
      <c r="H5" s="173">
        <f t="shared" si="0"/>
        <v>29097</v>
      </c>
      <c r="I5" s="174">
        <f>INT(F5*'报告表格项目 （2）'!I4*50%)</f>
        <v>29097</v>
      </c>
      <c r="J5" s="174" t="s">
        <v>456</v>
      </c>
      <c r="K5" s="169"/>
      <c r="L5" s="169"/>
      <c r="M5" s="169"/>
      <c r="N5" s="175"/>
      <c r="O5" s="176" t="s">
        <v>416</v>
      </c>
      <c r="Q5" s="178"/>
      <c r="R5" s="179"/>
      <c r="S5" s="178"/>
      <c r="T5" s="179"/>
      <c r="U5" s="179"/>
      <c r="V5" s="165"/>
    </row>
    <row r="6" spans="1:22" ht="21.65" customHeight="1" x14ac:dyDescent="0.25">
      <c r="A6" s="169">
        <v>4</v>
      </c>
      <c r="B6" s="170" t="s">
        <v>457</v>
      </c>
      <c r="C6" s="171" t="s">
        <v>30</v>
      </c>
      <c r="D6" s="172"/>
      <c r="E6" s="172"/>
      <c r="F6" s="173">
        <f>'报告表格项目 （2）'!G5*'报告表格项目 （2）'!H5/365</f>
        <v>1572821.9178082191</v>
      </c>
      <c r="G6" s="173"/>
      <c r="H6" s="173">
        <f t="shared" si="0"/>
        <v>29097</v>
      </c>
      <c r="I6" s="174">
        <f>INT(F6*'报告表格项目 （2）'!I5*50%)</f>
        <v>29097</v>
      </c>
      <c r="J6" s="174" t="s">
        <v>456</v>
      </c>
      <c r="K6" s="169"/>
      <c r="L6" s="169"/>
      <c r="M6" s="169"/>
      <c r="N6" s="175"/>
      <c r="O6" s="191"/>
      <c r="Q6" s="178"/>
      <c r="R6" s="179"/>
      <c r="S6" s="178"/>
      <c r="T6" s="179"/>
      <c r="U6" s="179"/>
      <c r="V6" s="165"/>
    </row>
    <row r="7" spans="1:22" ht="21.65" customHeight="1" x14ac:dyDescent="0.25">
      <c r="A7" s="169">
        <v>5</v>
      </c>
      <c r="B7" s="170" t="s">
        <v>457</v>
      </c>
      <c r="C7" s="171" t="s">
        <v>30</v>
      </c>
      <c r="D7" s="172"/>
      <c r="E7" s="172"/>
      <c r="F7" s="173">
        <f>'报告表格项目 （2）'!G6*'报告表格项目 （2）'!H6/365</f>
        <v>1804712.3287671234</v>
      </c>
      <c r="G7" s="173"/>
      <c r="H7" s="173">
        <f t="shared" si="0"/>
        <v>33387</v>
      </c>
      <c r="I7" s="174">
        <f>INT(F7*'报告表格项目 （2）'!I6*50%)</f>
        <v>33387</v>
      </c>
      <c r="J7" s="174" t="s">
        <v>456</v>
      </c>
      <c r="K7" s="169"/>
      <c r="L7" s="169"/>
      <c r="M7" s="169"/>
      <c r="N7" s="175"/>
      <c r="O7" s="191"/>
      <c r="Q7" s="178"/>
      <c r="R7" s="179"/>
      <c r="S7" s="178"/>
      <c r="T7" s="179"/>
      <c r="U7" s="179"/>
      <c r="V7" s="165"/>
    </row>
    <row r="8" spans="1:22" s="189" customFormat="1" ht="21.65" customHeight="1" x14ac:dyDescent="0.25">
      <c r="A8" s="180">
        <v>6</v>
      </c>
      <c r="B8" s="181" t="s">
        <v>457</v>
      </c>
      <c r="C8" s="192" t="s">
        <v>30</v>
      </c>
      <c r="D8" s="183"/>
      <c r="E8" s="183"/>
      <c r="F8" s="173">
        <f>'报告表格项目 （2）'!G7*'报告表格项目 （2）'!H7/365</f>
        <v>1804712.3287671234</v>
      </c>
      <c r="G8" s="173"/>
      <c r="H8" s="173">
        <f t="shared" si="0"/>
        <v>33387</v>
      </c>
      <c r="I8" s="174">
        <f>INT(F8*'报告表格项目 （2）'!I7*50%)</f>
        <v>33387</v>
      </c>
      <c r="J8" s="174" t="s">
        <v>456</v>
      </c>
      <c r="K8" s="180"/>
      <c r="L8" s="180"/>
      <c r="M8" s="180"/>
      <c r="N8" s="184"/>
      <c r="O8" s="193"/>
      <c r="P8" s="186"/>
      <c r="Q8" s="187"/>
      <c r="R8" s="188"/>
      <c r="S8" s="187"/>
      <c r="T8" s="188"/>
      <c r="U8" s="188"/>
      <c r="V8" s="165"/>
    </row>
    <row r="9" spans="1:22" s="189" customFormat="1" ht="21.65" customHeight="1" x14ac:dyDescent="0.25">
      <c r="A9" s="180">
        <v>7</v>
      </c>
      <c r="B9" s="181" t="s">
        <v>457</v>
      </c>
      <c r="C9" s="192" t="s">
        <v>30</v>
      </c>
      <c r="D9" s="183"/>
      <c r="E9" s="183"/>
      <c r="F9" s="173">
        <f>'报告表格项目 （2）'!G8*'报告表格项目 （2）'!H8/365</f>
        <v>119178.08219178082</v>
      </c>
      <c r="G9" s="173"/>
      <c r="H9" s="173">
        <f t="shared" si="0"/>
        <v>2204</v>
      </c>
      <c r="I9" s="174">
        <f>INT(F9*'报告表格项目 （2）'!I8*50%)</f>
        <v>2204</v>
      </c>
      <c r="J9" s="174" t="s">
        <v>456</v>
      </c>
      <c r="K9" s="180"/>
      <c r="L9" s="180"/>
      <c r="M9" s="180"/>
      <c r="N9" s="184"/>
      <c r="O9" s="180" t="s">
        <v>416</v>
      </c>
      <c r="P9" s="186"/>
      <c r="Q9" s="187"/>
      <c r="R9" s="188"/>
      <c r="S9" s="187"/>
      <c r="T9" s="188"/>
      <c r="U9" s="188"/>
      <c r="V9" s="165"/>
    </row>
    <row r="10" spans="1:22" s="189" customFormat="1" ht="21.65" customHeight="1" x14ac:dyDescent="0.25">
      <c r="A10" s="180">
        <v>8</v>
      </c>
      <c r="B10" s="181" t="s">
        <v>458</v>
      </c>
      <c r="C10" s="192" t="s">
        <v>460</v>
      </c>
      <c r="D10" s="183"/>
      <c r="E10" s="183"/>
      <c r="F10" s="173">
        <f>'报告表格项目 （2）'!G9*'报告表格项目 （2）'!H9/365</f>
        <v>2020835.4369863018</v>
      </c>
      <c r="G10" s="173">
        <v>61525</v>
      </c>
      <c r="H10" s="173">
        <f t="shared" si="0"/>
        <v>-24140</v>
      </c>
      <c r="I10" s="174">
        <f>INT(F10*'报告表格项目 （2）'!I9*50%)</f>
        <v>37385</v>
      </c>
      <c r="J10" s="174" t="s">
        <v>456</v>
      </c>
      <c r="K10" s="180"/>
      <c r="L10" s="180"/>
      <c r="M10" s="180"/>
      <c r="N10" s="184"/>
      <c r="O10" s="193" t="s">
        <v>416</v>
      </c>
      <c r="P10" s="186"/>
      <c r="Q10" s="187"/>
      <c r="R10" s="188"/>
      <c r="S10" s="187"/>
      <c r="T10" s="188"/>
      <c r="U10" s="188"/>
      <c r="V10" s="165"/>
    </row>
    <row r="11" spans="1:22" s="189" customFormat="1" ht="21.65" customHeight="1" x14ac:dyDescent="0.25">
      <c r="A11" s="180">
        <v>9</v>
      </c>
      <c r="B11" s="181" t="s">
        <v>458</v>
      </c>
      <c r="C11" s="192" t="s">
        <v>460</v>
      </c>
      <c r="D11" s="183"/>
      <c r="E11" s="183"/>
      <c r="F11" s="173">
        <f>'报告表格项目 （2）'!G10*'报告表格项目 （2）'!H10/365</f>
        <v>744398.90410958906</v>
      </c>
      <c r="G11" s="173"/>
      <c r="H11" s="173">
        <f t="shared" si="0"/>
        <v>13771</v>
      </c>
      <c r="I11" s="174">
        <f>INT(F11*'报告表格项目 （2）'!I10*50%)</f>
        <v>13771</v>
      </c>
      <c r="J11" s="174" t="s">
        <v>456</v>
      </c>
      <c r="K11" s="180"/>
      <c r="L11" s="180"/>
      <c r="M11" s="180"/>
      <c r="N11" s="184"/>
      <c r="O11" s="193" t="s">
        <v>416</v>
      </c>
      <c r="P11" s="186"/>
      <c r="Q11" s="187"/>
      <c r="R11" s="188"/>
      <c r="S11" s="187"/>
      <c r="T11" s="188"/>
      <c r="U11" s="188"/>
      <c r="V11" s="165"/>
    </row>
    <row r="12" spans="1:22" s="189" customFormat="1" ht="21.65" customHeight="1" x14ac:dyDescent="0.25">
      <c r="A12" s="180">
        <v>10</v>
      </c>
      <c r="B12" s="181" t="s">
        <v>222</v>
      </c>
      <c r="C12" s="192" t="s">
        <v>84</v>
      </c>
      <c r="D12" s="183"/>
      <c r="E12" s="183"/>
      <c r="F12" s="173">
        <f>'报告表格项目 （2）'!G11*'报告表格项目 （2）'!H11/365</f>
        <v>2470136.98630137</v>
      </c>
      <c r="G12" s="173">
        <v>326150</v>
      </c>
      <c r="H12" s="173">
        <f t="shared" si="0"/>
        <v>-280453</v>
      </c>
      <c r="I12" s="174">
        <f>INT(F12*'报告表格项目 （2）'!I11*50%)</f>
        <v>45697</v>
      </c>
      <c r="J12" s="174" t="s">
        <v>456</v>
      </c>
      <c r="K12" s="180"/>
      <c r="L12" s="180"/>
      <c r="M12" s="180"/>
      <c r="N12" s="184"/>
      <c r="O12" s="194"/>
      <c r="P12" s="186"/>
      <c r="Q12" s="187"/>
      <c r="R12" s="188"/>
      <c r="S12" s="187"/>
      <c r="T12" s="188"/>
      <c r="U12" s="188"/>
      <c r="V12" s="165"/>
    </row>
    <row r="13" spans="1:22" s="189" customFormat="1" ht="21.65" customHeight="1" x14ac:dyDescent="0.25">
      <c r="A13" s="180">
        <v>11</v>
      </c>
      <c r="B13" s="181" t="s">
        <v>222</v>
      </c>
      <c r="C13" s="182" t="s">
        <v>84</v>
      </c>
      <c r="D13" s="183"/>
      <c r="E13" s="183"/>
      <c r="F13" s="173">
        <f>'报告表格项目 （2）'!G12*'报告表格项目 （2）'!H12/365</f>
        <v>2142465.7534246575</v>
      </c>
      <c r="G13" s="173"/>
      <c r="H13" s="173">
        <f t="shared" si="0"/>
        <v>39635</v>
      </c>
      <c r="I13" s="174">
        <f>INT(F13*'报告表格项目 （2）'!I12*50%)</f>
        <v>39635</v>
      </c>
      <c r="J13" s="174" t="s">
        <v>456</v>
      </c>
      <c r="K13" s="180"/>
      <c r="L13" s="180"/>
      <c r="M13" s="180"/>
      <c r="N13" s="184"/>
      <c r="O13" s="194"/>
      <c r="P13" s="186"/>
      <c r="Q13" s="187"/>
      <c r="R13" s="188"/>
      <c r="S13" s="187"/>
      <c r="T13" s="188"/>
      <c r="U13" s="188"/>
      <c r="V13" s="165"/>
    </row>
    <row r="14" spans="1:22" s="189" customFormat="1" ht="21.65" customHeight="1" x14ac:dyDescent="0.25">
      <c r="A14" s="180">
        <v>12</v>
      </c>
      <c r="B14" s="181" t="s">
        <v>222</v>
      </c>
      <c r="C14" s="182" t="s">
        <v>84</v>
      </c>
      <c r="D14" s="183"/>
      <c r="E14" s="183"/>
      <c r="F14" s="173">
        <f>'报告表格项目 （2）'!G13*'报告表格项目 （2）'!H13/365</f>
        <v>1250191.7808219178</v>
      </c>
      <c r="G14" s="173"/>
      <c r="H14" s="173">
        <f t="shared" si="0"/>
        <v>23128</v>
      </c>
      <c r="I14" s="174">
        <f>INT(F14*'报告表格项目 （2）'!I13*50%)</f>
        <v>23128</v>
      </c>
      <c r="J14" s="174" t="s">
        <v>456</v>
      </c>
      <c r="K14" s="180"/>
      <c r="L14" s="180"/>
      <c r="M14" s="180"/>
      <c r="N14" s="184"/>
      <c r="O14" s="194"/>
      <c r="P14" s="186"/>
      <c r="Q14" s="187"/>
      <c r="R14" s="188"/>
      <c r="S14" s="187"/>
      <c r="T14" s="188"/>
      <c r="U14" s="188"/>
      <c r="V14" s="165"/>
    </row>
    <row r="15" spans="1:22" ht="21.65" customHeight="1" x14ac:dyDescent="0.25">
      <c r="A15" s="180">
        <v>13</v>
      </c>
      <c r="B15" s="170" t="s">
        <v>222</v>
      </c>
      <c r="C15" s="171" t="s">
        <v>84</v>
      </c>
      <c r="D15" s="172"/>
      <c r="E15" s="169"/>
      <c r="F15" s="173">
        <f>'报告表格项目 （2）'!G14*'报告表格项目 （2）'!H14/365</f>
        <v>4219397.2602739725</v>
      </c>
      <c r="G15" s="173"/>
      <c r="H15" s="173">
        <f t="shared" si="0"/>
        <v>78058</v>
      </c>
      <c r="I15" s="174">
        <f>INT(F15*'报告表格项目 （2）'!I14*50%)</f>
        <v>78058</v>
      </c>
      <c r="J15" s="174" t="s">
        <v>456</v>
      </c>
      <c r="K15" s="169"/>
      <c r="L15" s="169"/>
      <c r="M15" s="169"/>
      <c r="N15" s="175"/>
      <c r="O15" s="195"/>
      <c r="Q15" s="178"/>
      <c r="R15" s="179"/>
      <c r="S15" s="178"/>
      <c r="T15" s="179"/>
      <c r="U15" s="179"/>
      <c r="V15" s="165"/>
    </row>
    <row r="16" spans="1:22" ht="21.65" customHeight="1" x14ac:dyDescent="0.25">
      <c r="A16" s="180">
        <v>14</v>
      </c>
      <c r="B16" s="170" t="s">
        <v>64</v>
      </c>
      <c r="C16" s="171" t="s">
        <v>461</v>
      </c>
      <c r="D16" s="172"/>
      <c r="E16" s="172"/>
      <c r="F16" s="173">
        <f>'报告表格项目 （2）'!G15*'报告表格项目 （2）'!H15/365</f>
        <v>2016438.3561643835</v>
      </c>
      <c r="G16" s="173">
        <v>111541</v>
      </c>
      <c r="H16" s="173">
        <f t="shared" si="0"/>
        <v>-66676</v>
      </c>
      <c r="I16" s="174">
        <f>INT(F16*'报告表格项目 （2）'!I15*50%)</f>
        <v>44865</v>
      </c>
      <c r="J16" s="174" t="s">
        <v>456</v>
      </c>
      <c r="K16" s="169"/>
      <c r="L16" s="169"/>
      <c r="M16" s="169"/>
      <c r="N16" s="175"/>
      <c r="O16" s="195"/>
      <c r="Q16" s="178"/>
      <c r="R16" s="179"/>
      <c r="S16" s="178"/>
      <c r="T16" s="179"/>
      <c r="U16" s="179"/>
      <c r="V16" s="165"/>
    </row>
    <row r="17" spans="1:22" ht="21.65" customHeight="1" x14ac:dyDescent="0.25">
      <c r="A17" s="180">
        <v>15</v>
      </c>
      <c r="B17" s="170" t="s">
        <v>64</v>
      </c>
      <c r="C17" s="171" t="s">
        <v>461</v>
      </c>
      <c r="D17" s="172"/>
      <c r="E17" s="172"/>
      <c r="F17" s="173">
        <f>'报告表格项目 （2）'!G16*'报告表格项目 （2）'!H16/365</f>
        <v>1512328.7671232878</v>
      </c>
      <c r="G17" s="173"/>
      <c r="H17" s="173">
        <f t="shared" si="0"/>
        <v>27978</v>
      </c>
      <c r="I17" s="174">
        <f>INT(F17*'报告表格项目 （2）'!I16*50%)</f>
        <v>27978</v>
      </c>
      <c r="J17" s="174" t="s">
        <v>456</v>
      </c>
      <c r="K17" s="169"/>
      <c r="L17" s="169"/>
      <c r="M17" s="169"/>
      <c r="N17" s="175"/>
      <c r="O17" s="195"/>
      <c r="Q17" s="178"/>
      <c r="R17" s="179"/>
      <c r="S17" s="178"/>
      <c r="T17" s="179"/>
      <c r="U17" s="179"/>
      <c r="V17" s="165"/>
    </row>
    <row r="18" spans="1:22" ht="21.65" customHeight="1" x14ac:dyDescent="0.25">
      <c r="A18" s="180">
        <v>16</v>
      </c>
      <c r="B18" s="170" t="s">
        <v>92</v>
      </c>
      <c r="C18" s="171" t="s">
        <v>93</v>
      </c>
      <c r="D18" s="172"/>
      <c r="E18" s="172"/>
      <c r="F18" s="173">
        <f>'报告表格项目 （2）'!G17*'报告表格项目 （2）'!H17/365</f>
        <v>10082191.780821918</v>
      </c>
      <c r="G18" s="173">
        <v>186520</v>
      </c>
      <c r="H18" s="173">
        <f t="shared" si="0"/>
        <v>0</v>
      </c>
      <c r="I18" s="174">
        <f>INT(F18*'报告表格项目 （2）'!I17*50%)</f>
        <v>186520</v>
      </c>
      <c r="J18" s="174" t="s">
        <v>456</v>
      </c>
      <c r="K18" s="169"/>
      <c r="L18" s="169"/>
      <c r="M18" s="169"/>
      <c r="N18" s="175"/>
      <c r="O18" s="195"/>
      <c r="Q18" s="178"/>
      <c r="R18" s="179"/>
      <c r="S18" s="178"/>
      <c r="T18" s="179"/>
      <c r="U18" s="179"/>
      <c r="V18" s="165"/>
    </row>
    <row r="19" spans="1:22" ht="21.65" customHeight="1" x14ac:dyDescent="0.25">
      <c r="A19" s="180">
        <v>17</v>
      </c>
      <c r="B19" s="170" t="s">
        <v>459</v>
      </c>
      <c r="C19" s="171" t="s">
        <v>107</v>
      </c>
      <c r="D19" s="172"/>
      <c r="E19" s="169"/>
      <c r="F19" s="173">
        <f>'报告表格项目 （2）'!G18*'报告表格项目 （2）'!H18/365</f>
        <v>1890410.9589041097</v>
      </c>
      <c r="G19" s="173">
        <v>40942</v>
      </c>
      <c r="H19" s="173">
        <f t="shared" si="0"/>
        <v>-5970</v>
      </c>
      <c r="I19" s="174">
        <f>INT(F19*'报告表格项目 （2）'!I18*50%)</f>
        <v>34972</v>
      </c>
      <c r="J19" s="174" t="s">
        <v>456</v>
      </c>
      <c r="K19" s="169"/>
      <c r="L19" s="169"/>
      <c r="M19" s="169"/>
      <c r="N19" s="175"/>
      <c r="O19" s="195"/>
      <c r="Q19" s="178"/>
      <c r="R19" s="179"/>
      <c r="S19" s="178"/>
      <c r="T19" s="179"/>
      <c r="U19" s="179"/>
      <c r="V19" s="165"/>
    </row>
    <row r="20" spans="1:22" ht="21.65" customHeight="1" x14ac:dyDescent="0.25">
      <c r="A20" s="180">
        <v>18</v>
      </c>
      <c r="B20" s="170" t="s">
        <v>459</v>
      </c>
      <c r="C20" s="171" t="s">
        <v>107</v>
      </c>
      <c r="D20" s="172"/>
      <c r="E20" s="172"/>
      <c r="F20" s="173">
        <f>'报告表格项目 （2）'!G19*'报告表格项目 （2）'!H19/365</f>
        <v>322739.72602739726</v>
      </c>
      <c r="G20" s="173"/>
      <c r="H20" s="173">
        <f t="shared" si="0"/>
        <v>5970</v>
      </c>
      <c r="I20" s="174">
        <f>INT(F20*'报告表格项目 （2）'!I19*50%)</f>
        <v>5970</v>
      </c>
      <c r="J20" s="174" t="s">
        <v>456</v>
      </c>
      <c r="K20" s="169"/>
      <c r="L20" s="169"/>
      <c r="M20" s="169"/>
      <c r="N20" s="175"/>
      <c r="O20" s="195"/>
      <c r="Q20" s="178"/>
      <c r="R20" s="179"/>
      <c r="S20" s="178"/>
      <c r="T20" s="179"/>
      <c r="U20" s="179"/>
      <c r="V20" s="165"/>
    </row>
    <row r="21" spans="1:22" ht="21.65" customHeight="1" x14ac:dyDescent="0.25">
      <c r="A21" s="180">
        <v>19</v>
      </c>
      <c r="B21" s="170" t="s">
        <v>109</v>
      </c>
      <c r="C21" s="171" t="s">
        <v>115</v>
      </c>
      <c r="D21" s="172"/>
      <c r="E21" s="172"/>
      <c r="F21" s="173">
        <f>'报告表格项目 （2）'!G20*'报告表格项目 （2）'!H20/365</f>
        <v>405246.57534246577</v>
      </c>
      <c r="G21" s="173">
        <v>142468</v>
      </c>
      <c r="H21" s="173">
        <f t="shared" si="0"/>
        <v>-134971</v>
      </c>
      <c r="I21" s="174">
        <f>INT(F21*'报告表格项目 （2）'!I20*50%)</f>
        <v>7497</v>
      </c>
      <c r="J21" s="174" t="s">
        <v>456</v>
      </c>
      <c r="K21" s="169"/>
      <c r="L21" s="169"/>
      <c r="M21" s="169"/>
      <c r="N21" s="175"/>
      <c r="O21" s="195"/>
      <c r="Q21" s="178"/>
      <c r="R21" s="179"/>
      <c r="S21" s="178"/>
      <c r="T21" s="179"/>
      <c r="U21" s="179"/>
      <c r="V21" s="165"/>
    </row>
    <row r="22" spans="1:22" ht="21.65" customHeight="1" x14ac:dyDescent="0.25">
      <c r="A22" s="180">
        <v>20</v>
      </c>
      <c r="B22" s="170" t="s">
        <v>109</v>
      </c>
      <c r="C22" s="171" t="s">
        <v>115</v>
      </c>
      <c r="D22" s="172"/>
      <c r="E22" s="169"/>
      <c r="F22" s="173">
        <f>'报告表格项目 （2）'!G21*'报告表格项目 （2）'!H21/365</f>
        <v>697808.21917808219</v>
      </c>
      <c r="G22" s="173"/>
      <c r="H22" s="173">
        <f t="shared" si="0"/>
        <v>12909</v>
      </c>
      <c r="I22" s="174">
        <f>INT(F22*'报告表格项目 （2）'!I21*50%)</f>
        <v>12909</v>
      </c>
      <c r="J22" s="174" t="s">
        <v>456</v>
      </c>
      <c r="K22" s="169"/>
      <c r="L22" s="169"/>
      <c r="M22" s="169"/>
      <c r="N22" s="175"/>
      <c r="O22" s="195"/>
      <c r="Q22" s="178"/>
      <c r="R22" s="179"/>
      <c r="S22" s="178"/>
      <c r="T22" s="179"/>
      <c r="U22" s="179"/>
      <c r="V22" s="165"/>
    </row>
    <row r="23" spans="1:22" ht="21.65" customHeight="1" x14ac:dyDescent="0.25">
      <c r="A23" s="180">
        <v>21</v>
      </c>
      <c r="B23" s="170" t="s">
        <v>109</v>
      </c>
      <c r="C23" s="171" t="s">
        <v>115</v>
      </c>
      <c r="D23" s="172"/>
      <c r="E23" s="172"/>
      <c r="F23" s="173">
        <f>'报告表格项目 （2）'!G22*'报告表格项目 （2）'!H22/365</f>
        <v>59695.890410958906</v>
      </c>
      <c r="G23" s="173"/>
      <c r="H23" s="173">
        <f t="shared" si="0"/>
        <v>1104</v>
      </c>
      <c r="I23" s="174">
        <f>INT(F23*'报告表格项目 （2）'!I22*50%)</f>
        <v>1104</v>
      </c>
      <c r="J23" s="174" t="s">
        <v>456</v>
      </c>
      <c r="K23" s="169"/>
      <c r="L23" s="169"/>
      <c r="M23" s="169"/>
      <c r="N23" s="175"/>
      <c r="O23" s="195"/>
      <c r="Q23" s="178"/>
      <c r="R23" s="179"/>
      <c r="S23" s="178"/>
      <c r="T23" s="179"/>
      <c r="U23" s="179"/>
      <c r="V23" s="165"/>
    </row>
    <row r="24" spans="1:22" ht="21.65" customHeight="1" x14ac:dyDescent="0.25">
      <c r="A24" s="180">
        <v>22</v>
      </c>
      <c r="B24" s="170" t="s">
        <v>109</v>
      </c>
      <c r="C24" s="171" t="s">
        <v>115</v>
      </c>
      <c r="D24" s="172"/>
      <c r="E24" s="172"/>
      <c r="F24" s="173">
        <f>'报告表格项目 （2）'!G23*'报告表格项目 （2）'!H23/365</f>
        <v>1105479.4520547944</v>
      </c>
      <c r="G24" s="173"/>
      <c r="H24" s="173">
        <f t="shared" si="0"/>
        <v>20451</v>
      </c>
      <c r="I24" s="174">
        <f>INT(F24*'报告表格项目 （2）'!I23*50%)</f>
        <v>20451</v>
      </c>
      <c r="J24" s="174" t="s">
        <v>456</v>
      </c>
      <c r="K24" s="169"/>
      <c r="L24" s="169"/>
      <c r="M24" s="169"/>
      <c r="N24" s="175"/>
      <c r="O24" s="195"/>
      <c r="Q24" s="178"/>
      <c r="R24" s="179"/>
      <c r="S24" s="178"/>
      <c r="T24" s="179"/>
      <c r="U24" s="179"/>
      <c r="V24" s="165"/>
    </row>
    <row r="25" spans="1:22" ht="21.65" customHeight="1" x14ac:dyDescent="0.25">
      <c r="A25" s="180">
        <v>23</v>
      </c>
      <c r="B25" s="170" t="s">
        <v>109</v>
      </c>
      <c r="C25" s="171" t="s">
        <v>115</v>
      </c>
      <c r="D25" s="172"/>
      <c r="E25" s="169"/>
      <c r="F25" s="173">
        <f>'报告表格项目 （2）'!G24*'报告表格项目 （2）'!H24/365</f>
        <v>161400</v>
      </c>
      <c r="G25" s="173"/>
      <c r="H25" s="173">
        <f t="shared" si="0"/>
        <v>2985</v>
      </c>
      <c r="I25" s="174">
        <f>INT(F25*'报告表格项目 （2）'!I24*50%)</f>
        <v>2985</v>
      </c>
      <c r="J25" s="174" t="s">
        <v>456</v>
      </c>
      <c r="K25" s="169"/>
      <c r="L25" s="169"/>
      <c r="M25" s="169"/>
      <c r="N25" s="175"/>
      <c r="O25" s="195"/>
      <c r="Q25" s="178"/>
      <c r="R25" s="179"/>
      <c r="S25" s="178"/>
      <c r="T25" s="179"/>
      <c r="U25" s="179"/>
      <c r="V25" s="165"/>
    </row>
    <row r="26" spans="1:22" ht="21.65" customHeight="1" x14ac:dyDescent="0.25">
      <c r="A26" s="180">
        <v>24</v>
      </c>
      <c r="B26" s="170" t="s">
        <v>109</v>
      </c>
      <c r="C26" s="171" t="s">
        <v>115</v>
      </c>
      <c r="D26" s="172"/>
      <c r="E26" s="172"/>
      <c r="F26" s="173">
        <f>'报告表格项目 （2）'!G25*'报告表格项目 （2）'!H25/365</f>
        <v>352635.61643835617</v>
      </c>
      <c r="G26" s="173"/>
      <c r="H26" s="173">
        <f t="shared" si="0"/>
        <v>6523</v>
      </c>
      <c r="I26" s="174">
        <f>INT(F26*'报告表格项目 （2）'!I25*50%)</f>
        <v>6523</v>
      </c>
      <c r="J26" s="174" t="s">
        <v>456</v>
      </c>
      <c r="K26" s="169"/>
      <c r="L26" s="169"/>
      <c r="M26" s="169"/>
      <c r="N26" s="175"/>
      <c r="O26" s="195"/>
      <c r="Q26" s="178"/>
      <c r="R26" s="179"/>
      <c r="S26" s="178"/>
      <c r="T26" s="179"/>
      <c r="U26" s="179"/>
      <c r="V26" s="165"/>
    </row>
    <row r="27" spans="1:22" ht="21.65" customHeight="1" x14ac:dyDescent="0.25">
      <c r="A27" s="180">
        <v>25</v>
      </c>
      <c r="B27" s="170" t="s">
        <v>109</v>
      </c>
      <c r="C27" s="171" t="s">
        <v>115</v>
      </c>
      <c r="D27" s="172"/>
      <c r="E27" s="172"/>
      <c r="F27" s="173">
        <f>'报告表格项目 （2）'!G26*'报告表格项目 （2）'!H26/365</f>
        <v>1732871.2328767122</v>
      </c>
      <c r="G27" s="173"/>
      <c r="H27" s="173">
        <f t="shared" si="0"/>
        <v>32058</v>
      </c>
      <c r="I27" s="174">
        <f>INT(F27*'报告表格项目 （2）'!I26*50%)</f>
        <v>32058</v>
      </c>
      <c r="J27" s="174" t="s">
        <v>456</v>
      </c>
      <c r="K27" s="169"/>
      <c r="L27" s="169"/>
      <c r="M27" s="169"/>
      <c r="N27" s="175"/>
      <c r="O27" s="195"/>
      <c r="Q27" s="178"/>
      <c r="R27" s="179"/>
      <c r="S27" s="178"/>
      <c r="T27" s="179"/>
      <c r="U27" s="179"/>
      <c r="V27" s="165"/>
    </row>
    <row r="28" spans="1:22" ht="21.65" customHeight="1" x14ac:dyDescent="0.25">
      <c r="A28" s="180">
        <v>26</v>
      </c>
      <c r="B28" s="170" t="s">
        <v>109</v>
      </c>
      <c r="C28" s="171" t="s">
        <v>115</v>
      </c>
      <c r="D28" s="172"/>
      <c r="E28" s="169"/>
      <c r="F28" s="173">
        <f>'报告表格项目 （2）'!G27*'报告表格项目 （2）'!H27/365</f>
        <v>1404115.0684931506</v>
      </c>
      <c r="G28" s="173"/>
      <c r="H28" s="173">
        <f t="shared" si="0"/>
        <v>25976</v>
      </c>
      <c r="I28" s="174">
        <f>INT(F28*'报告表格项目 （2）'!I27*50%)</f>
        <v>25976</v>
      </c>
      <c r="J28" s="174" t="s">
        <v>456</v>
      </c>
      <c r="K28" s="169"/>
      <c r="L28" s="169"/>
      <c r="M28" s="169"/>
      <c r="N28" s="175"/>
      <c r="O28" s="195"/>
      <c r="Q28" s="178"/>
      <c r="R28" s="179"/>
      <c r="S28" s="178"/>
      <c r="T28" s="179"/>
      <c r="U28" s="179"/>
      <c r="V28" s="165"/>
    </row>
    <row r="29" spans="1:22" ht="21.65" customHeight="1" x14ac:dyDescent="0.25">
      <c r="A29" s="180">
        <v>27</v>
      </c>
      <c r="B29" s="170" t="s">
        <v>109</v>
      </c>
      <c r="C29" s="171" t="s">
        <v>115</v>
      </c>
      <c r="D29" s="172"/>
      <c r="E29" s="172"/>
      <c r="F29" s="173">
        <f>'报告表格项目 （2）'!G28*'报告表格项目 （2）'!H28/365</f>
        <v>307134.24657534249</v>
      </c>
      <c r="G29" s="173"/>
      <c r="H29" s="173">
        <f t="shared" si="0"/>
        <v>5681</v>
      </c>
      <c r="I29" s="174">
        <f>INT(F29*'报告表格项目 （2）'!I28*50%)</f>
        <v>5681</v>
      </c>
      <c r="J29" s="174" t="s">
        <v>456</v>
      </c>
      <c r="K29" s="169"/>
      <c r="L29" s="169"/>
      <c r="M29" s="169"/>
      <c r="N29" s="175"/>
      <c r="O29" s="195"/>
      <c r="Q29" s="178"/>
      <c r="R29" s="179"/>
      <c r="S29" s="178"/>
      <c r="T29" s="179"/>
      <c r="U29" s="179"/>
      <c r="V29" s="165"/>
    </row>
    <row r="30" spans="1:22" ht="21.65" customHeight="1" x14ac:dyDescent="0.25">
      <c r="A30" s="180">
        <v>28</v>
      </c>
      <c r="B30" s="170" t="s">
        <v>109</v>
      </c>
      <c r="C30" s="171" t="s">
        <v>115</v>
      </c>
      <c r="D30" s="172"/>
      <c r="E30" s="172"/>
      <c r="F30" s="173">
        <f>'报告表格项目 （2）'!G29*'报告表格项目 （2）'!H29/365</f>
        <v>435621.91780821915</v>
      </c>
      <c r="G30" s="173"/>
      <c r="H30" s="173">
        <f t="shared" si="0"/>
        <v>8059</v>
      </c>
      <c r="I30" s="174">
        <f>INT(F30*'报告表格项目 （2）'!I29*50%)</f>
        <v>8059</v>
      </c>
      <c r="J30" s="174" t="s">
        <v>456</v>
      </c>
      <c r="K30" s="169"/>
      <c r="L30" s="169"/>
      <c r="M30" s="169"/>
      <c r="N30" s="175"/>
      <c r="O30" s="195"/>
      <c r="Q30" s="178"/>
      <c r="R30" s="179"/>
      <c r="S30" s="178"/>
      <c r="T30" s="179"/>
      <c r="U30" s="179"/>
      <c r="V30" s="165"/>
    </row>
    <row r="31" spans="1:22" ht="21.65" customHeight="1" x14ac:dyDescent="0.25">
      <c r="A31" s="180">
        <v>29</v>
      </c>
      <c r="B31" s="170" t="s">
        <v>109</v>
      </c>
      <c r="C31" s="171" t="s">
        <v>115</v>
      </c>
      <c r="D31" s="172"/>
      <c r="E31" s="169"/>
      <c r="F31" s="173">
        <f>'报告表格项目 （2）'!G30*'报告表格项目 （2）'!H30/365</f>
        <v>150679.45205479453</v>
      </c>
      <c r="G31" s="173"/>
      <c r="H31" s="173">
        <f t="shared" si="0"/>
        <v>2787</v>
      </c>
      <c r="I31" s="174">
        <f>INT(F31*'报告表格项目 （2）'!I30*50%)</f>
        <v>2787</v>
      </c>
      <c r="J31" s="174" t="s">
        <v>456</v>
      </c>
      <c r="K31" s="169"/>
      <c r="L31" s="169"/>
      <c r="M31" s="169"/>
      <c r="N31" s="175"/>
      <c r="O31" s="195"/>
      <c r="Q31" s="178"/>
      <c r="R31" s="179"/>
      <c r="S31" s="178"/>
      <c r="T31" s="179"/>
      <c r="U31" s="179"/>
      <c r="V31" s="165"/>
    </row>
    <row r="32" spans="1:22" ht="21.65" customHeight="1" x14ac:dyDescent="0.25">
      <c r="A32" s="180">
        <v>30</v>
      </c>
      <c r="B32" s="170" t="s">
        <v>109</v>
      </c>
      <c r="C32" s="171" t="s">
        <v>115</v>
      </c>
      <c r="D32" s="172"/>
      <c r="E32" s="172"/>
      <c r="F32" s="173">
        <f>'报告表格项目 （2）'!G31*'报告表格项目 （2）'!H31/365</f>
        <v>263054.79452054796</v>
      </c>
      <c r="G32" s="173"/>
      <c r="H32" s="173">
        <f t="shared" si="0"/>
        <v>4866</v>
      </c>
      <c r="I32" s="174">
        <f>INT(F32*'报告表格项目 （2）'!I31*50%)</f>
        <v>4866</v>
      </c>
      <c r="J32" s="174" t="s">
        <v>456</v>
      </c>
      <c r="K32" s="169"/>
      <c r="L32" s="169"/>
      <c r="M32" s="169"/>
      <c r="N32" s="175"/>
      <c r="O32" s="195"/>
      <c r="Q32" s="178"/>
      <c r="R32" s="179"/>
      <c r="S32" s="178"/>
      <c r="T32" s="179"/>
      <c r="U32" s="179"/>
      <c r="V32" s="165"/>
    </row>
    <row r="33" spans="1:22" ht="21.65" customHeight="1" x14ac:dyDescent="0.25">
      <c r="A33" s="180">
        <v>31</v>
      </c>
      <c r="B33" s="170" t="s">
        <v>109</v>
      </c>
      <c r="C33" s="171" t="s">
        <v>115</v>
      </c>
      <c r="D33" s="172"/>
      <c r="E33" s="172"/>
      <c r="F33" s="173">
        <f>'报告表格项目 （2）'!G32*'报告表格项目 （2）'!H32/365</f>
        <v>118705.47945205479</v>
      </c>
      <c r="G33" s="173"/>
      <c r="H33" s="173">
        <f t="shared" si="0"/>
        <v>2196</v>
      </c>
      <c r="I33" s="174">
        <f>INT(F33*'报告表格项目 （2）'!I32*50%)</f>
        <v>2196</v>
      </c>
      <c r="J33" s="174" t="s">
        <v>456</v>
      </c>
      <c r="K33" s="169"/>
      <c r="L33" s="169"/>
      <c r="M33" s="169"/>
      <c r="N33" s="175"/>
      <c r="O33" s="195"/>
      <c r="Q33" s="178"/>
      <c r="R33" s="179"/>
      <c r="S33" s="178"/>
      <c r="T33" s="179"/>
      <c r="U33" s="179"/>
      <c r="V33" s="165"/>
    </row>
    <row r="34" spans="1:22" ht="21.65" customHeight="1" x14ac:dyDescent="0.25">
      <c r="A34" s="180">
        <v>32</v>
      </c>
      <c r="B34" s="170" t="s">
        <v>109</v>
      </c>
      <c r="C34" s="171" t="s">
        <v>115</v>
      </c>
      <c r="D34" s="172"/>
      <c r="E34" s="169"/>
      <c r="F34" s="173">
        <f>'报告表格项目 （2）'!G33*'报告表格项目 （2）'!H33/365</f>
        <v>345316.43835616438</v>
      </c>
      <c r="G34" s="173"/>
      <c r="H34" s="173">
        <f t="shared" si="0"/>
        <v>6388</v>
      </c>
      <c r="I34" s="174">
        <f>INT(F34*'报告表格项目 （2）'!I33*50%)</f>
        <v>6388</v>
      </c>
      <c r="J34" s="174" t="s">
        <v>456</v>
      </c>
      <c r="K34" s="169"/>
      <c r="L34" s="169"/>
      <c r="M34" s="169"/>
      <c r="N34" s="175"/>
      <c r="O34" s="195"/>
      <c r="Q34" s="178"/>
      <c r="R34" s="179"/>
      <c r="S34" s="178"/>
      <c r="T34" s="179"/>
      <c r="U34" s="179"/>
      <c r="V34" s="165"/>
    </row>
    <row r="35" spans="1:22" ht="21.65" customHeight="1" x14ac:dyDescent="0.25">
      <c r="A35" s="180">
        <v>33</v>
      </c>
      <c r="B35" s="170" t="s">
        <v>109</v>
      </c>
      <c r="C35" s="171" t="s">
        <v>115</v>
      </c>
      <c r="D35" s="172"/>
      <c r="E35" s="172"/>
      <c r="F35" s="173">
        <f>'报告表格项目 （2）'!G34*'报告表格项目 （2）'!H34/365</f>
        <v>161532.87671232875</v>
      </c>
      <c r="G35" s="173"/>
      <c r="H35" s="173">
        <f t="shared" si="0"/>
        <v>2988</v>
      </c>
      <c r="I35" s="174">
        <f>INT(F35*'报告表格项目 （2）'!I34*50%)</f>
        <v>2988</v>
      </c>
      <c r="J35" s="174" t="s">
        <v>456</v>
      </c>
      <c r="K35" s="169"/>
      <c r="L35" s="169"/>
      <c r="M35" s="169"/>
      <c r="N35" s="175"/>
      <c r="O35" s="195"/>
      <c r="Q35" s="178"/>
      <c r="R35" s="179"/>
      <c r="S35" s="178"/>
      <c r="T35" s="179"/>
      <c r="U35" s="179"/>
      <c r="V35" s="165"/>
    </row>
    <row r="36" spans="1:22" ht="21.65" customHeight="1" x14ac:dyDescent="0.25">
      <c r="A36" s="180">
        <v>34</v>
      </c>
      <c r="B36" s="170" t="s">
        <v>118</v>
      </c>
      <c r="C36" s="171" t="s">
        <v>22</v>
      </c>
      <c r="D36" s="172"/>
      <c r="E36" s="172"/>
      <c r="F36" s="173">
        <f>'报告表格项目 （2）'!G35*'报告表格项目 （2）'!H35/365</f>
        <v>577589.04109589045</v>
      </c>
      <c r="G36" s="173">
        <v>132690</v>
      </c>
      <c r="H36" s="173">
        <f t="shared" si="0"/>
        <v>-122005</v>
      </c>
      <c r="I36" s="174">
        <f>INT(F36*'报告表格项目 （2）'!I35*50%)</f>
        <v>10685</v>
      </c>
      <c r="J36" s="174" t="s">
        <v>456</v>
      </c>
      <c r="K36" s="169"/>
      <c r="L36" s="169"/>
      <c r="M36" s="169"/>
      <c r="N36" s="175"/>
      <c r="O36" s="195"/>
      <c r="Q36" s="178"/>
      <c r="R36" s="179"/>
      <c r="S36" s="178"/>
      <c r="T36" s="179"/>
      <c r="U36" s="179"/>
      <c r="V36" s="165"/>
    </row>
    <row r="37" spans="1:22" ht="21.65" customHeight="1" x14ac:dyDescent="0.25">
      <c r="A37" s="180">
        <v>35</v>
      </c>
      <c r="B37" s="170" t="s">
        <v>118</v>
      </c>
      <c r="C37" s="171" t="s">
        <v>22</v>
      </c>
      <c r="D37" s="172"/>
      <c r="E37" s="169"/>
      <c r="F37" s="173">
        <f>'报告表格项目 （2）'!G36*'报告表格项目 （2）'!H36/365</f>
        <v>5618739.7260273974</v>
      </c>
      <c r="G37" s="173"/>
      <c r="H37" s="173">
        <f t="shared" si="0"/>
        <v>103946</v>
      </c>
      <c r="I37" s="174">
        <f>INT(F37*'报告表格项目 （2）'!I36*50%)</f>
        <v>103946</v>
      </c>
      <c r="J37" s="174" t="s">
        <v>456</v>
      </c>
      <c r="K37" s="169"/>
      <c r="L37" s="169"/>
      <c r="M37" s="169"/>
      <c r="N37" s="175"/>
      <c r="O37" s="195"/>
      <c r="Q37" s="178"/>
      <c r="R37" s="179"/>
      <c r="S37" s="178"/>
      <c r="T37" s="179"/>
      <c r="U37" s="179"/>
      <c r="V37" s="165"/>
    </row>
    <row r="38" spans="1:22" ht="21.65" customHeight="1" x14ac:dyDescent="0.25">
      <c r="A38" s="180">
        <v>36</v>
      </c>
      <c r="B38" s="170" t="s">
        <v>118</v>
      </c>
      <c r="C38" s="171" t="s">
        <v>22</v>
      </c>
      <c r="D38" s="172"/>
      <c r="E38" s="172"/>
      <c r="F38" s="173">
        <f>'报告表格项目 （2）'!G37*'报告表格项目 （2）'!H37/365</f>
        <v>918493.15068493155</v>
      </c>
      <c r="G38" s="173"/>
      <c r="H38" s="173">
        <f t="shared" si="0"/>
        <v>16992</v>
      </c>
      <c r="I38" s="174">
        <f>INT(F38*'报告表格项目 （2）'!I37*50%)</f>
        <v>16992</v>
      </c>
      <c r="J38" s="174" t="s">
        <v>456</v>
      </c>
      <c r="K38" s="169"/>
      <c r="L38" s="169"/>
      <c r="M38" s="169"/>
      <c r="N38" s="175"/>
      <c r="O38" s="195"/>
      <c r="Q38" s="178"/>
      <c r="R38" s="179"/>
      <c r="S38" s="178"/>
      <c r="T38" s="179"/>
      <c r="U38" s="179"/>
      <c r="V38" s="165"/>
    </row>
    <row r="39" spans="1:22" ht="21.65" customHeight="1" x14ac:dyDescent="0.25">
      <c r="A39" s="180">
        <v>37</v>
      </c>
      <c r="B39" s="170" t="s">
        <v>118</v>
      </c>
      <c r="C39" s="171" t="s">
        <v>22</v>
      </c>
      <c r="D39" s="172"/>
      <c r="E39" s="169"/>
      <c r="F39" s="173">
        <f>'报告表格项目 （2）'!G38*'报告表格项目 （2）'!H38/365</f>
        <v>47945.205479452052</v>
      </c>
      <c r="G39" s="173"/>
      <c r="H39" s="173">
        <f t="shared" si="0"/>
        <v>1066</v>
      </c>
      <c r="I39" s="174">
        <f>INT(F39*'报告表格项目 （2）'!I38*50%)</f>
        <v>1066</v>
      </c>
      <c r="J39" s="174" t="s">
        <v>456</v>
      </c>
      <c r="K39" s="169"/>
      <c r="L39" s="169"/>
      <c r="M39" s="169"/>
      <c r="N39" s="175"/>
      <c r="O39" s="195"/>
      <c r="Q39" s="178"/>
      <c r="R39" s="179"/>
      <c r="S39" s="178"/>
      <c r="T39" s="179"/>
      <c r="U39" s="179"/>
      <c r="V39" s="165"/>
    </row>
    <row r="40" spans="1:22" ht="21.65" customHeight="1" x14ac:dyDescent="0.25">
      <c r="A40" s="180">
        <v>38</v>
      </c>
      <c r="B40" s="170" t="s">
        <v>125</v>
      </c>
      <c r="C40" s="171" t="s">
        <v>22</v>
      </c>
      <c r="D40" s="172"/>
      <c r="E40" s="172"/>
      <c r="F40" s="173">
        <f>'报告表格项目 （2）'!G39*'报告表格项目 （2）'!H39/365</f>
        <v>1041095.8904109589</v>
      </c>
      <c r="G40" s="173">
        <v>66432</v>
      </c>
      <c r="H40" s="173">
        <f t="shared" si="0"/>
        <v>-47172</v>
      </c>
      <c r="I40" s="174">
        <f>INT(F40*'报告表格项目 （2）'!I39*50%)</f>
        <v>19260</v>
      </c>
      <c r="J40" s="174" t="s">
        <v>456</v>
      </c>
      <c r="K40" s="169"/>
      <c r="L40" s="169"/>
      <c r="M40" s="169"/>
      <c r="N40" s="175"/>
      <c r="O40" s="195"/>
      <c r="Q40" s="178"/>
      <c r="R40" s="179"/>
      <c r="S40" s="178"/>
      <c r="T40" s="179"/>
      <c r="U40" s="179"/>
      <c r="V40" s="165"/>
    </row>
    <row r="41" spans="1:22" ht="21.65" customHeight="1" x14ac:dyDescent="0.25">
      <c r="A41" s="180">
        <v>39</v>
      </c>
      <c r="B41" s="170" t="s">
        <v>125</v>
      </c>
      <c r="C41" s="171" t="s">
        <v>22</v>
      </c>
      <c r="D41" s="172"/>
      <c r="E41" s="172"/>
      <c r="F41" s="173">
        <f>'报告表格项目 （2）'!G40*'报告表格项目 （2）'!H40/365</f>
        <v>780821.91780821921</v>
      </c>
      <c r="G41" s="173"/>
      <c r="H41" s="173">
        <f t="shared" si="0"/>
        <v>14445</v>
      </c>
      <c r="I41" s="174">
        <f>INT(F41*'报告表格项目 （2）'!I40*50%)</f>
        <v>14445</v>
      </c>
      <c r="J41" s="174" t="s">
        <v>456</v>
      </c>
      <c r="K41" s="169"/>
      <c r="L41" s="169"/>
      <c r="M41" s="169"/>
      <c r="N41" s="175"/>
      <c r="O41" s="195"/>
      <c r="Q41" s="178"/>
      <c r="R41" s="179"/>
      <c r="S41" s="178"/>
      <c r="T41" s="179"/>
      <c r="U41" s="179"/>
      <c r="V41" s="165"/>
    </row>
    <row r="42" spans="1:22" ht="21.65" customHeight="1" x14ac:dyDescent="0.25">
      <c r="A42" s="180">
        <v>40</v>
      </c>
      <c r="B42" s="170" t="s">
        <v>125</v>
      </c>
      <c r="C42" s="171" t="s">
        <v>22</v>
      </c>
      <c r="D42" s="172"/>
      <c r="E42" s="169"/>
      <c r="F42" s="173">
        <f>'报告表格项目 （2）'!G41*'报告表格项目 （2）'!H41/365</f>
        <v>520547.94520547945</v>
      </c>
      <c r="G42" s="173"/>
      <c r="H42" s="173">
        <f t="shared" si="0"/>
        <v>9630</v>
      </c>
      <c r="I42" s="174">
        <f>INT(F42*'报告表格项目 （2）'!I41*50%)</f>
        <v>9630</v>
      </c>
      <c r="J42" s="174" t="s">
        <v>456</v>
      </c>
      <c r="K42" s="169"/>
      <c r="L42" s="169"/>
      <c r="M42" s="169"/>
      <c r="N42" s="175"/>
      <c r="O42" s="195"/>
      <c r="Q42" s="178"/>
      <c r="R42" s="179"/>
      <c r="S42" s="178"/>
      <c r="T42" s="179"/>
      <c r="U42" s="179"/>
      <c r="V42" s="165"/>
    </row>
    <row r="43" spans="1:22" ht="21.65" customHeight="1" x14ac:dyDescent="0.25">
      <c r="A43" s="180">
        <v>41</v>
      </c>
      <c r="B43" s="170" t="s">
        <v>125</v>
      </c>
      <c r="C43" s="171" t="s">
        <v>22</v>
      </c>
      <c r="D43" s="172"/>
      <c r="E43" s="172"/>
      <c r="F43" s="173">
        <f>'报告表格项目 （2）'!G42*'报告表格项目 （2）'!H42/365</f>
        <v>832328.76712328766</v>
      </c>
      <c r="G43" s="173"/>
      <c r="H43" s="173">
        <f t="shared" si="0"/>
        <v>15398</v>
      </c>
      <c r="I43" s="174">
        <f>INT(F43*'报告表格项目 （2）'!I42*50%)</f>
        <v>15398</v>
      </c>
      <c r="J43" s="174" t="s">
        <v>456</v>
      </c>
      <c r="K43" s="169"/>
      <c r="L43" s="169"/>
      <c r="M43" s="169"/>
      <c r="N43" s="175"/>
      <c r="O43" s="195"/>
      <c r="Q43" s="178"/>
      <c r="R43" s="179"/>
      <c r="S43" s="178"/>
      <c r="T43" s="179"/>
      <c r="U43" s="179"/>
      <c r="V43" s="165"/>
    </row>
    <row r="44" spans="1:22" ht="21.65" customHeight="1" x14ac:dyDescent="0.25">
      <c r="A44" s="180">
        <v>42</v>
      </c>
      <c r="B44" s="170" t="s">
        <v>125</v>
      </c>
      <c r="C44" s="171" t="s">
        <v>22</v>
      </c>
      <c r="D44" s="172"/>
      <c r="E44" s="172"/>
      <c r="F44" s="173">
        <f>'报告表格项目 （2）'!G43*'报告表格项目 （2）'!H43/365</f>
        <v>416164.38356164383</v>
      </c>
      <c r="G44" s="173"/>
      <c r="H44" s="173">
        <f t="shared" si="0"/>
        <v>7699</v>
      </c>
      <c r="I44" s="174">
        <f>INT(F44*'报告表格项目 （2）'!I43*50%)</f>
        <v>7699</v>
      </c>
      <c r="J44" s="174" t="s">
        <v>456</v>
      </c>
      <c r="K44" s="169"/>
      <c r="L44" s="169"/>
      <c r="M44" s="169"/>
      <c r="N44" s="175"/>
      <c r="O44" s="195"/>
      <c r="Q44" s="178"/>
      <c r="R44" s="179"/>
      <c r="S44" s="178"/>
      <c r="T44" s="179"/>
      <c r="U44" s="179"/>
      <c r="V44" s="165"/>
    </row>
    <row r="45" spans="1:22" ht="21.65" customHeight="1" x14ac:dyDescent="0.25">
      <c r="A45" s="180">
        <v>43</v>
      </c>
      <c r="B45" s="170" t="s">
        <v>132</v>
      </c>
      <c r="C45" s="171" t="s">
        <v>133</v>
      </c>
      <c r="D45" s="172"/>
      <c r="E45" s="169"/>
      <c r="F45" s="173">
        <f>'报告表格项目 （2）'!G44*'报告表格项目 （2）'!H44/365</f>
        <v>6660273.9726027399</v>
      </c>
      <c r="G45" s="173">
        <v>148000.01</v>
      </c>
      <c r="H45" s="173">
        <f t="shared" si="0"/>
        <v>-24785.010000000009</v>
      </c>
      <c r="I45" s="174">
        <f>INT(F45*'报告表格项目 （2）'!I44*50%)</f>
        <v>123215</v>
      </c>
      <c r="J45" s="174" t="s">
        <v>456</v>
      </c>
      <c r="K45" s="169"/>
      <c r="L45" s="169"/>
      <c r="M45" s="169"/>
      <c r="N45" s="175"/>
      <c r="O45" s="195"/>
      <c r="Q45" s="178"/>
      <c r="R45" s="179"/>
      <c r="S45" s="178"/>
      <c r="T45" s="179"/>
      <c r="U45" s="179"/>
      <c r="V45" s="165"/>
    </row>
    <row r="46" spans="1:22" ht="21.65" customHeight="1" x14ac:dyDescent="0.25">
      <c r="A46" s="180">
        <v>44</v>
      </c>
      <c r="B46" s="170" t="s">
        <v>132</v>
      </c>
      <c r="C46" s="171" t="s">
        <v>133</v>
      </c>
      <c r="D46" s="172"/>
      <c r="E46" s="172"/>
      <c r="F46" s="173">
        <f>'报告表格项目 （2）'!G45*'报告表格项目 （2）'!H45/365</f>
        <v>1175342.4657534247</v>
      </c>
      <c r="G46" s="173"/>
      <c r="H46" s="173">
        <f t="shared" si="0"/>
        <v>21743</v>
      </c>
      <c r="I46" s="174">
        <f>INT(F46*'报告表格项目 （2）'!I45*50%)</f>
        <v>21743</v>
      </c>
      <c r="J46" s="174" t="s">
        <v>456</v>
      </c>
      <c r="K46" s="169"/>
      <c r="L46" s="169"/>
      <c r="M46" s="169"/>
      <c r="N46" s="175"/>
      <c r="O46" s="195"/>
      <c r="Q46" s="178"/>
      <c r="R46" s="179"/>
      <c r="S46" s="178"/>
      <c r="T46" s="179"/>
      <c r="U46" s="179"/>
      <c r="V46" s="165"/>
    </row>
    <row r="47" spans="1:22" ht="21.65" customHeight="1" x14ac:dyDescent="0.25">
      <c r="A47" s="180">
        <v>45</v>
      </c>
      <c r="B47" s="170" t="s">
        <v>132</v>
      </c>
      <c r="C47" s="171" t="s">
        <v>133</v>
      </c>
      <c r="D47" s="172"/>
      <c r="E47" s="172"/>
      <c r="F47" s="173">
        <f>'报告表格项目 （2）'!G46*'报告表格项目 （2）'!H46/365</f>
        <v>219178.08219178082</v>
      </c>
      <c r="G47" s="173"/>
      <c r="H47" s="173">
        <f t="shared" si="0"/>
        <v>4054</v>
      </c>
      <c r="I47" s="174">
        <f>INT(F47*'报告表格项目 （2）'!I46*50%)</f>
        <v>4054</v>
      </c>
      <c r="J47" s="174" t="s">
        <v>456</v>
      </c>
      <c r="K47" s="169"/>
      <c r="L47" s="169"/>
      <c r="M47" s="169"/>
      <c r="N47" s="175"/>
      <c r="O47" s="195"/>
      <c r="Q47" s="178"/>
      <c r="R47" s="179"/>
      <c r="S47" s="178"/>
      <c r="T47" s="179"/>
      <c r="U47" s="179"/>
      <c r="V47" s="165"/>
    </row>
    <row r="48" spans="1:22" s="177" customFormat="1" ht="21.75" customHeight="1" x14ac:dyDescent="0.25">
      <c r="A48" s="196"/>
      <c r="B48" s="175" t="s">
        <v>419</v>
      </c>
      <c r="C48" s="196"/>
      <c r="D48" s="196"/>
      <c r="E48" s="196"/>
      <c r="F48" s="197">
        <f>SUM(F3:F47)</f>
        <v>65231490.50547944</v>
      </c>
      <c r="G48" s="197">
        <f>SUM(G3:G47)</f>
        <v>1402193.01</v>
      </c>
      <c r="H48" s="197">
        <f>SUM(H3:H47)</f>
        <v>-187688.01</v>
      </c>
      <c r="I48" s="197">
        <f>SUM(I3:I47)</f>
        <v>1214505</v>
      </c>
      <c r="J48" s="197"/>
      <c r="K48" s="196"/>
      <c r="L48" s="196"/>
      <c r="M48" s="196"/>
      <c r="N48" s="196"/>
      <c r="O48" s="198"/>
      <c r="Q48" s="161"/>
      <c r="R48" s="161"/>
      <c r="S48" s="161"/>
      <c r="T48" s="161"/>
      <c r="U48" s="161"/>
      <c r="V48" s="161"/>
    </row>
    <row r="51" spans="1:22" s="177" customFormat="1" ht="17.5" x14ac:dyDescent="0.25">
      <c r="A51" s="161"/>
      <c r="B51" s="199"/>
      <c r="C51" s="161"/>
      <c r="D51" s="161"/>
      <c r="E51" s="161"/>
      <c r="F51" s="161"/>
      <c r="G51" s="200"/>
      <c r="H51" s="161"/>
      <c r="I51" s="201"/>
      <c r="J51" s="201"/>
      <c r="K51" s="161"/>
      <c r="L51" s="161"/>
      <c r="M51" s="161"/>
      <c r="N51" s="161"/>
      <c r="O51" s="202"/>
      <c r="Q51" s="161"/>
      <c r="R51" s="161"/>
      <c r="S51" s="161"/>
      <c r="T51" s="161"/>
      <c r="U51" s="161"/>
      <c r="V51" s="161"/>
    </row>
    <row r="52" spans="1:22" s="177" customFormat="1" ht="17.5" x14ac:dyDescent="0.25">
      <c r="A52" s="161"/>
      <c r="B52" s="199"/>
      <c r="C52" s="161"/>
      <c r="D52" s="161"/>
      <c r="E52" s="161"/>
      <c r="F52" s="161"/>
      <c r="G52" s="161"/>
      <c r="H52" s="161"/>
      <c r="I52" s="201"/>
      <c r="J52" s="201"/>
      <c r="K52" s="161"/>
      <c r="L52" s="161"/>
      <c r="M52" s="161"/>
      <c r="N52" s="161"/>
      <c r="O52" s="202"/>
      <c r="Q52" s="161"/>
      <c r="R52" s="161"/>
      <c r="S52" s="161"/>
      <c r="T52" s="161"/>
      <c r="U52" s="161"/>
      <c r="V52" s="161"/>
    </row>
  </sheetData>
  <mergeCells count="1">
    <mergeCell ref="A1:O1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1" zoomScaleNormal="100" workbookViewId="0">
      <selection activeCell="A3" sqref="A3:A48"/>
    </sheetView>
  </sheetViews>
  <sheetFormatPr defaultColWidth="9" defaultRowHeight="14" x14ac:dyDescent="0.25"/>
  <cols>
    <col min="1" max="1" width="7.7265625" style="161" customWidth="1"/>
    <col min="2" max="2" width="38" style="199" customWidth="1"/>
    <col min="3" max="3" width="30.36328125" style="161" customWidth="1"/>
    <col min="4" max="4" width="28" style="178" customWidth="1"/>
    <col min="5" max="5" width="21.453125" style="215" customWidth="1"/>
    <col min="6" max="6" width="9" style="161"/>
    <col min="7" max="7" width="27.26953125" style="220" customWidth="1"/>
    <col min="8" max="16384" width="9" style="161"/>
  </cols>
  <sheetData>
    <row r="1" spans="1:9" ht="32.15" customHeight="1" x14ac:dyDescent="0.25">
      <c r="A1" s="245" t="s">
        <v>480</v>
      </c>
      <c r="B1" s="245"/>
      <c r="C1" s="245"/>
      <c r="D1" s="245"/>
      <c r="E1" s="245"/>
    </row>
    <row r="2" spans="1:9" s="214" customFormat="1" ht="27.5" customHeight="1" x14ac:dyDescent="0.25">
      <c r="A2" s="210" t="s">
        <v>398</v>
      </c>
      <c r="B2" s="210" t="s">
        <v>399</v>
      </c>
      <c r="C2" s="211" t="s">
        <v>478</v>
      </c>
      <c r="D2" s="212" t="s">
        <v>406</v>
      </c>
      <c r="E2" s="213" t="s">
        <v>482</v>
      </c>
      <c r="G2" s="221"/>
    </row>
    <row r="3" spans="1:9" ht="21.65" customHeight="1" x14ac:dyDescent="0.25">
      <c r="A3" s="169">
        <v>1</v>
      </c>
      <c r="B3" s="216" t="s">
        <v>417</v>
      </c>
      <c r="C3" s="208" t="s">
        <v>479</v>
      </c>
      <c r="D3" s="174" t="s">
        <v>415</v>
      </c>
      <c r="E3" s="174">
        <v>46630</v>
      </c>
      <c r="G3" s="225"/>
      <c r="I3" s="178"/>
    </row>
    <row r="4" spans="1:9" s="189" customFormat="1" ht="21.65" customHeight="1" x14ac:dyDescent="0.25">
      <c r="A4" s="180">
        <v>2</v>
      </c>
      <c r="B4" s="217" t="s">
        <v>420</v>
      </c>
      <c r="C4" s="208" t="s">
        <v>479</v>
      </c>
      <c r="D4" s="174" t="s">
        <v>415</v>
      </c>
      <c r="E4" s="174">
        <v>48809</v>
      </c>
      <c r="F4" s="161"/>
      <c r="G4" s="225"/>
      <c r="H4" s="161"/>
      <c r="I4" s="161"/>
    </row>
    <row r="5" spans="1:9" ht="21.65" customHeight="1" x14ac:dyDescent="0.25">
      <c r="A5" s="169">
        <v>3</v>
      </c>
      <c r="B5" s="216" t="s">
        <v>421</v>
      </c>
      <c r="C5" s="208" t="s">
        <v>479</v>
      </c>
      <c r="D5" s="174" t="s">
        <v>415</v>
      </c>
      <c r="E5" s="174">
        <v>63356</v>
      </c>
      <c r="G5" s="225"/>
    </row>
    <row r="6" spans="1:9" ht="21.65" customHeight="1" x14ac:dyDescent="0.25">
      <c r="A6" s="180">
        <v>4</v>
      </c>
      <c r="B6" s="216" t="s">
        <v>422</v>
      </c>
      <c r="C6" s="208" t="s">
        <v>479</v>
      </c>
      <c r="D6" s="174" t="s">
        <v>415</v>
      </c>
      <c r="E6" s="174">
        <v>83726</v>
      </c>
      <c r="G6" s="225"/>
    </row>
    <row r="7" spans="1:9" ht="21.65" customHeight="1" x14ac:dyDescent="0.25">
      <c r="A7" s="169">
        <v>5</v>
      </c>
      <c r="B7" s="216" t="s">
        <v>423</v>
      </c>
      <c r="C7" s="208" t="s">
        <v>479</v>
      </c>
      <c r="D7" s="174" t="s">
        <v>415</v>
      </c>
      <c r="E7" s="174">
        <v>93462</v>
      </c>
      <c r="G7" s="225"/>
    </row>
    <row r="8" spans="1:9" s="189" customFormat="1" ht="21.65" customHeight="1" x14ac:dyDescent="0.25">
      <c r="A8" s="180">
        <v>6</v>
      </c>
      <c r="B8" s="217" t="s">
        <v>424</v>
      </c>
      <c r="C8" s="208" t="s">
        <v>479</v>
      </c>
      <c r="D8" s="174" t="s">
        <v>415</v>
      </c>
      <c r="E8" s="174">
        <v>50500</v>
      </c>
      <c r="F8" s="161"/>
      <c r="G8" s="225"/>
      <c r="H8" s="161"/>
      <c r="I8" s="161"/>
    </row>
    <row r="9" spans="1:9" s="189" customFormat="1" ht="21.65" customHeight="1" x14ac:dyDescent="0.25">
      <c r="A9" s="169">
        <v>7</v>
      </c>
      <c r="B9" s="217" t="s">
        <v>425</v>
      </c>
      <c r="C9" s="208" t="s">
        <v>479</v>
      </c>
      <c r="D9" s="174" t="s">
        <v>415</v>
      </c>
      <c r="E9" s="174">
        <v>69589</v>
      </c>
      <c r="F9" s="161"/>
      <c r="G9" s="225"/>
      <c r="H9" s="161"/>
      <c r="I9" s="161"/>
    </row>
    <row r="10" spans="1:9" s="189" customFormat="1" ht="21.65" customHeight="1" x14ac:dyDescent="0.25">
      <c r="A10" s="180">
        <v>8</v>
      </c>
      <c r="B10" s="217" t="s">
        <v>426</v>
      </c>
      <c r="C10" s="208" t="s">
        <v>479</v>
      </c>
      <c r="D10" s="174" t="s">
        <v>415</v>
      </c>
      <c r="E10" s="174">
        <v>63356</v>
      </c>
      <c r="F10" s="161"/>
      <c r="G10" s="225"/>
      <c r="H10" s="161"/>
      <c r="I10" s="161"/>
    </row>
    <row r="11" spans="1:9" s="189" customFormat="1" ht="21.65" customHeight="1" x14ac:dyDescent="0.25">
      <c r="A11" s="169">
        <v>9</v>
      </c>
      <c r="B11" s="217" t="s">
        <v>165</v>
      </c>
      <c r="C11" s="208" t="s">
        <v>479</v>
      </c>
      <c r="D11" s="174" t="s">
        <v>415</v>
      </c>
      <c r="E11" s="174">
        <v>59993</v>
      </c>
      <c r="F11" s="161"/>
      <c r="G11" s="225"/>
      <c r="H11" s="161"/>
      <c r="I11" s="161"/>
    </row>
    <row r="12" spans="1:9" s="189" customFormat="1" ht="21.65" customHeight="1" x14ac:dyDescent="0.25">
      <c r="A12" s="180">
        <v>10</v>
      </c>
      <c r="B12" s="217" t="s">
        <v>175</v>
      </c>
      <c r="C12" s="208" t="s">
        <v>479</v>
      </c>
      <c r="D12" s="174" t="s">
        <v>415</v>
      </c>
      <c r="E12" s="174">
        <v>104863</v>
      </c>
      <c r="F12" s="161"/>
      <c r="G12" s="225"/>
      <c r="H12" s="161"/>
      <c r="I12" s="161"/>
    </row>
    <row r="13" spans="1:9" s="189" customFormat="1" ht="21.65" customHeight="1" x14ac:dyDescent="0.25">
      <c r="A13" s="169">
        <v>11</v>
      </c>
      <c r="B13" s="217" t="s">
        <v>188</v>
      </c>
      <c r="C13" s="208" t="s">
        <v>479</v>
      </c>
      <c r="D13" s="174" t="s">
        <v>415</v>
      </c>
      <c r="E13" s="174">
        <v>69913</v>
      </c>
      <c r="F13" s="161"/>
      <c r="G13" s="225"/>
      <c r="H13" s="161"/>
      <c r="I13" s="161"/>
    </row>
    <row r="14" spans="1:9" s="189" customFormat="1" ht="21.65" customHeight="1" x14ac:dyDescent="0.25">
      <c r="A14" s="180">
        <v>12</v>
      </c>
      <c r="B14" s="217" t="s">
        <v>195</v>
      </c>
      <c r="C14" s="208" t="s">
        <v>479</v>
      </c>
      <c r="D14" s="174" t="s">
        <v>415</v>
      </c>
      <c r="E14" s="174">
        <v>55347</v>
      </c>
      <c r="F14" s="161"/>
      <c r="G14" s="225"/>
      <c r="H14" s="161"/>
      <c r="I14" s="161"/>
    </row>
    <row r="15" spans="1:9" ht="21.65" customHeight="1" x14ac:dyDescent="0.25">
      <c r="A15" s="169">
        <v>13</v>
      </c>
      <c r="B15" s="216" t="s">
        <v>202</v>
      </c>
      <c r="C15" s="208" t="s">
        <v>479</v>
      </c>
      <c r="D15" s="174" t="s">
        <v>415</v>
      </c>
      <c r="E15" s="174">
        <v>27977</v>
      </c>
      <c r="G15" s="225"/>
    </row>
    <row r="16" spans="1:9" ht="21.65" customHeight="1" x14ac:dyDescent="0.25">
      <c r="A16" s="180">
        <v>14</v>
      </c>
      <c r="B16" s="216" t="s">
        <v>209</v>
      </c>
      <c r="C16" s="208" t="s">
        <v>479</v>
      </c>
      <c r="D16" s="174" t="s">
        <v>415</v>
      </c>
      <c r="E16" s="174">
        <v>15205</v>
      </c>
      <c r="G16" s="225"/>
    </row>
    <row r="17" spans="1:7" ht="21.65" customHeight="1" x14ac:dyDescent="0.25">
      <c r="A17" s="169">
        <v>15</v>
      </c>
      <c r="B17" s="216" t="s">
        <v>214</v>
      </c>
      <c r="C17" s="208" t="s">
        <v>479</v>
      </c>
      <c r="D17" s="174" t="s">
        <v>415</v>
      </c>
      <c r="E17" s="174">
        <v>46629</v>
      </c>
      <c r="G17" s="225"/>
    </row>
    <row r="18" spans="1:7" ht="21.65" customHeight="1" x14ac:dyDescent="0.25">
      <c r="A18" s="180">
        <v>16</v>
      </c>
      <c r="B18" s="216" t="s">
        <v>222</v>
      </c>
      <c r="C18" s="208" t="s">
        <v>479</v>
      </c>
      <c r="D18" s="174" t="s">
        <v>415</v>
      </c>
      <c r="E18" s="174">
        <v>93040</v>
      </c>
      <c r="G18" s="225"/>
    </row>
    <row r="19" spans="1:7" ht="21.65" customHeight="1" x14ac:dyDescent="0.25">
      <c r="A19" s="169">
        <v>17</v>
      </c>
      <c r="B19" s="216" t="s">
        <v>225</v>
      </c>
      <c r="C19" s="208" t="s">
        <v>479</v>
      </c>
      <c r="D19" s="174" t="s">
        <v>415</v>
      </c>
      <c r="E19" s="174">
        <v>89255</v>
      </c>
      <c r="G19" s="225"/>
    </row>
    <row r="20" spans="1:7" ht="21.65" customHeight="1" x14ac:dyDescent="0.25">
      <c r="A20" s="180">
        <v>18</v>
      </c>
      <c r="B20" s="216" t="s">
        <v>427</v>
      </c>
      <c r="C20" s="208" t="s">
        <v>479</v>
      </c>
      <c r="D20" s="174" t="s">
        <v>415</v>
      </c>
      <c r="E20" s="174">
        <v>94191</v>
      </c>
      <c r="G20" s="225"/>
    </row>
    <row r="21" spans="1:7" ht="21.65" customHeight="1" x14ac:dyDescent="0.25">
      <c r="A21" s="169">
        <v>19</v>
      </c>
      <c r="B21" s="216" t="s">
        <v>428</v>
      </c>
      <c r="C21" s="208" t="s">
        <v>479</v>
      </c>
      <c r="D21" s="174" t="s">
        <v>415</v>
      </c>
      <c r="E21" s="174">
        <v>76230</v>
      </c>
      <c r="G21" s="225"/>
    </row>
    <row r="22" spans="1:7" ht="21.65" customHeight="1" x14ac:dyDescent="0.25">
      <c r="A22" s="180">
        <v>20</v>
      </c>
      <c r="B22" s="216" t="s">
        <v>429</v>
      </c>
      <c r="C22" s="208" t="s">
        <v>479</v>
      </c>
      <c r="D22" s="174" t="s">
        <v>415</v>
      </c>
      <c r="E22" s="174">
        <v>48657</v>
      </c>
      <c r="G22" s="225"/>
    </row>
    <row r="23" spans="1:7" ht="21.65" customHeight="1" x14ac:dyDescent="0.25">
      <c r="A23" s="169">
        <v>21</v>
      </c>
      <c r="B23" s="216" t="s">
        <v>430</v>
      </c>
      <c r="C23" s="208" t="s">
        <v>479</v>
      </c>
      <c r="D23" s="174" t="s">
        <v>415</v>
      </c>
      <c r="E23" s="174">
        <v>45616</v>
      </c>
      <c r="G23" s="225"/>
    </row>
    <row r="24" spans="1:7" ht="21.65" customHeight="1" x14ac:dyDescent="0.25">
      <c r="A24" s="180">
        <v>22</v>
      </c>
      <c r="B24" s="216" t="s">
        <v>431</v>
      </c>
      <c r="C24" s="208" t="s">
        <v>479</v>
      </c>
      <c r="D24" s="174" t="s">
        <v>415</v>
      </c>
      <c r="E24" s="174">
        <v>47945</v>
      </c>
      <c r="G24" s="225"/>
    </row>
    <row r="25" spans="1:7" ht="21.65" customHeight="1" x14ac:dyDescent="0.25">
      <c r="A25" s="169">
        <v>23</v>
      </c>
      <c r="B25" s="216" t="s">
        <v>432</v>
      </c>
      <c r="C25" s="208" t="s">
        <v>479</v>
      </c>
      <c r="D25" s="174" t="s">
        <v>415</v>
      </c>
      <c r="E25" s="174">
        <v>94780</v>
      </c>
      <c r="G25" s="225"/>
    </row>
    <row r="26" spans="1:7" ht="21.65" customHeight="1" x14ac:dyDescent="0.25">
      <c r="A26" s="180">
        <v>24</v>
      </c>
      <c r="B26" s="216" t="s">
        <v>433</v>
      </c>
      <c r="C26" s="208" t="s">
        <v>479</v>
      </c>
      <c r="D26" s="174" t="s">
        <v>415</v>
      </c>
      <c r="E26" s="174">
        <v>36797</v>
      </c>
      <c r="G26" s="225"/>
    </row>
    <row r="27" spans="1:7" ht="21.65" customHeight="1" x14ac:dyDescent="0.25">
      <c r="A27" s="169">
        <v>25</v>
      </c>
      <c r="B27" s="216" t="s">
        <v>418</v>
      </c>
      <c r="C27" s="208" t="s">
        <v>479</v>
      </c>
      <c r="D27" s="174" t="s">
        <v>415</v>
      </c>
      <c r="E27" s="174">
        <v>89712</v>
      </c>
      <c r="G27" s="225"/>
    </row>
    <row r="28" spans="1:7" ht="21.65" customHeight="1" x14ac:dyDescent="0.25">
      <c r="A28" s="180">
        <v>26</v>
      </c>
      <c r="B28" s="216" t="s">
        <v>483</v>
      </c>
      <c r="C28" s="208" t="s">
        <v>479</v>
      </c>
      <c r="D28" s="174" t="s">
        <v>415</v>
      </c>
      <c r="E28" s="174">
        <v>43082</v>
      </c>
      <c r="G28" s="225"/>
    </row>
    <row r="29" spans="1:7" ht="21.65" customHeight="1" x14ac:dyDescent="0.25">
      <c r="A29" s="169">
        <v>27</v>
      </c>
      <c r="B29" s="216" t="s">
        <v>435</v>
      </c>
      <c r="C29" s="208" t="s">
        <v>479</v>
      </c>
      <c r="D29" s="174" t="s">
        <v>415</v>
      </c>
      <c r="E29" s="174">
        <v>115814</v>
      </c>
      <c r="G29" s="225"/>
    </row>
    <row r="30" spans="1:7" ht="21.65" customHeight="1" x14ac:dyDescent="0.25">
      <c r="A30" s="180">
        <v>28</v>
      </c>
      <c r="B30" s="216" t="s">
        <v>436</v>
      </c>
      <c r="C30" s="208" t="s">
        <v>479</v>
      </c>
      <c r="D30" s="174" t="s">
        <v>415</v>
      </c>
      <c r="E30" s="174">
        <v>93381</v>
      </c>
      <c r="G30" s="225"/>
    </row>
    <row r="31" spans="1:7" ht="21.65" customHeight="1" x14ac:dyDescent="0.25">
      <c r="A31" s="169">
        <v>29</v>
      </c>
      <c r="B31" s="216" t="s">
        <v>26</v>
      </c>
      <c r="C31" s="208" t="s">
        <v>479</v>
      </c>
      <c r="D31" s="174" t="s">
        <v>415</v>
      </c>
      <c r="E31" s="174">
        <v>48656</v>
      </c>
      <c r="G31" s="225"/>
    </row>
    <row r="32" spans="1:7" ht="21.65" customHeight="1" x14ac:dyDescent="0.25">
      <c r="A32" s="180">
        <v>30</v>
      </c>
      <c r="B32" s="216" t="s">
        <v>438</v>
      </c>
      <c r="C32" s="208" t="s">
        <v>479</v>
      </c>
      <c r="D32" s="174" t="s">
        <v>415</v>
      </c>
      <c r="E32" s="174">
        <v>22098</v>
      </c>
      <c r="G32" s="225"/>
    </row>
    <row r="33" spans="1:9" ht="21.65" customHeight="1" x14ac:dyDescent="0.25">
      <c r="A33" s="169">
        <v>31</v>
      </c>
      <c r="B33" s="216" t="s">
        <v>38</v>
      </c>
      <c r="C33" s="208" t="s">
        <v>479</v>
      </c>
      <c r="D33" s="174" t="s">
        <v>415</v>
      </c>
      <c r="E33" s="174">
        <v>99848</v>
      </c>
      <c r="G33" s="225"/>
    </row>
    <row r="34" spans="1:9" ht="21.65" customHeight="1" x14ac:dyDescent="0.25">
      <c r="A34" s="180">
        <v>32</v>
      </c>
      <c r="B34" s="216" t="s">
        <v>45</v>
      </c>
      <c r="C34" s="208" t="s">
        <v>479</v>
      </c>
      <c r="D34" s="174" t="s">
        <v>415</v>
      </c>
      <c r="E34" s="174">
        <v>51191</v>
      </c>
      <c r="G34" s="225"/>
    </row>
    <row r="35" spans="1:9" ht="21.65" customHeight="1" x14ac:dyDescent="0.25">
      <c r="A35" s="169">
        <v>33</v>
      </c>
      <c r="B35" s="216" t="s">
        <v>50</v>
      </c>
      <c r="C35" s="208" t="s">
        <v>479</v>
      </c>
      <c r="D35" s="174" t="s">
        <v>415</v>
      </c>
      <c r="E35" s="174">
        <v>30875</v>
      </c>
      <c r="G35" s="225"/>
    </row>
    <row r="36" spans="1:9" ht="21.65" customHeight="1" x14ac:dyDescent="0.25">
      <c r="A36" s="180">
        <v>34</v>
      </c>
      <c r="B36" s="216" t="s">
        <v>57</v>
      </c>
      <c r="C36" s="208" t="s">
        <v>479</v>
      </c>
      <c r="D36" s="174" t="s">
        <v>415</v>
      </c>
      <c r="E36" s="174">
        <v>75414</v>
      </c>
      <c r="G36" s="225"/>
    </row>
    <row r="37" spans="1:9" ht="21.65" customHeight="1" x14ac:dyDescent="0.25">
      <c r="A37" s="169">
        <v>35</v>
      </c>
      <c r="B37" s="216" t="s">
        <v>64</v>
      </c>
      <c r="C37" s="208" t="s">
        <v>479</v>
      </c>
      <c r="D37" s="174" t="s">
        <v>415</v>
      </c>
      <c r="E37" s="174">
        <v>62848</v>
      </c>
      <c r="G37" s="225"/>
    </row>
    <row r="38" spans="1:9" ht="21.65" customHeight="1" x14ac:dyDescent="0.25">
      <c r="A38" s="180">
        <v>36</v>
      </c>
      <c r="B38" s="216" t="s">
        <v>475</v>
      </c>
      <c r="C38" s="208" t="s">
        <v>479</v>
      </c>
      <c r="D38" s="174" t="s">
        <v>415</v>
      </c>
      <c r="E38" s="174">
        <v>36493</v>
      </c>
      <c r="G38" s="225"/>
    </row>
    <row r="39" spans="1:9" s="206" customFormat="1" ht="29.5" customHeight="1" x14ac:dyDescent="0.25">
      <c r="A39" s="169">
        <v>37</v>
      </c>
      <c r="B39" s="218" t="s">
        <v>457</v>
      </c>
      <c r="C39" s="219" t="s">
        <v>462</v>
      </c>
      <c r="D39" s="174" t="s">
        <v>382</v>
      </c>
      <c r="E39" s="174">
        <v>185925</v>
      </c>
      <c r="G39" s="225"/>
      <c r="H39" s="224"/>
      <c r="I39" s="161"/>
    </row>
    <row r="40" spans="1:9" s="206" customFormat="1" ht="27.5" customHeight="1" x14ac:dyDescent="0.25">
      <c r="A40" s="180">
        <v>38</v>
      </c>
      <c r="B40" s="218" t="s">
        <v>458</v>
      </c>
      <c r="C40" s="219" t="s">
        <v>463</v>
      </c>
      <c r="D40" s="174" t="s">
        <v>382</v>
      </c>
      <c r="E40" s="174">
        <v>51156</v>
      </c>
      <c r="G40" s="225"/>
      <c r="H40" s="224"/>
      <c r="I40" s="161"/>
    </row>
    <row r="41" spans="1:9" s="207" customFormat="1" ht="43.5" customHeight="1" x14ac:dyDescent="0.25">
      <c r="A41" s="169">
        <v>39</v>
      </c>
      <c r="B41" s="218" t="s">
        <v>222</v>
      </c>
      <c r="C41" s="219" t="s">
        <v>464</v>
      </c>
      <c r="D41" s="174" t="s">
        <v>477</v>
      </c>
      <c r="E41" s="174">
        <v>186518</v>
      </c>
      <c r="F41" s="206"/>
      <c r="G41" s="225"/>
      <c r="H41" s="224"/>
      <c r="I41" s="161"/>
    </row>
    <row r="42" spans="1:9" s="207" customFormat="1" ht="31" customHeight="1" x14ac:dyDescent="0.25">
      <c r="A42" s="180">
        <v>40</v>
      </c>
      <c r="B42" s="218" t="s">
        <v>64</v>
      </c>
      <c r="C42" s="219" t="s">
        <v>467</v>
      </c>
      <c r="D42" s="174" t="s">
        <v>477</v>
      </c>
      <c r="E42" s="174">
        <v>72843</v>
      </c>
      <c r="F42" s="206"/>
      <c r="G42" s="225"/>
      <c r="H42" s="224"/>
      <c r="I42" s="161"/>
    </row>
    <row r="43" spans="1:9" s="206" customFormat="1" ht="30.5" customHeight="1" x14ac:dyDescent="0.25">
      <c r="A43" s="169">
        <v>41</v>
      </c>
      <c r="B43" s="218" t="s">
        <v>92</v>
      </c>
      <c r="C43" s="219" t="s">
        <v>468</v>
      </c>
      <c r="D43" s="174" t="s">
        <v>477</v>
      </c>
      <c r="E43" s="174">
        <v>186520</v>
      </c>
      <c r="G43" s="225"/>
      <c r="H43" s="224"/>
      <c r="I43" s="161"/>
    </row>
    <row r="44" spans="1:9" s="206" customFormat="1" ht="32.5" customHeight="1" x14ac:dyDescent="0.25">
      <c r="A44" s="180">
        <v>42</v>
      </c>
      <c r="B44" s="218" t="s">
        <v>459</v>
      </c>
      <c r="C44" s="219" t="s">
        <v>469</v>
      </c>
      <c r="D44" s="174" t="s">
        <v>382</v>
      </c>
      <c r="E44" s="174">
        <v>40942</v>
      </c>
      <c r="G44" s="225"/>
      <c r="H44" s="224"/>
      <c r="I44" s="161"/>
    </row>
    <row r="45" spans="1:9" s="206" customFormat="1" ht="36.5" customHeight="1" x14ac:dyDescent="0.25">
      <c r="A45" s="169">
        <v>43</v>
      </c>
      <c r="B45" s="218" t="s">
        <v>109</v>
      </c>
      <c r="C45" s="219" t="s">
        <v>465</v>
      </c>
      <c r="D45" s="174" t="s">
        <v>382</v>
      </c>
      <c r="E45" s="174">
        <v>142468</v>
      </c>
      <c r="G45" s="225"/>
      <c r="H45" s="224"/>
      <c r="I45" s="161"/>
    </row>
    <row r="46" spans="1:9" s="206" customFormat="1" ht="32.5" customHeight="1" x14ac:dyDescent="0.25">
      <c r="A46" s="180">
        <v>44</v>
      </c>
      <c r="B46" s="218" t="s">
        <v>118</v>
      </c>
      <c r="C46" s="219" t="s">
        <v>466</v>
      </c>
      <c r="D46" s="174" t="s">
        <v>382</v>
      </c>
      <c r="E46" s="174">
        <v>132689</v>
      </c>
      <c r="G46" s="225"/>
      <c r="H46" s="224"/>
      <c r="I46" s="161"/>
    </row>
    <row r="47" spans="1:9" s="206" customFormat="1" ht="28.5" customHeight="1" x14ac:dyDescent="0.25">
      <c r="A47" s="169">
        <v>45</v>
      </c>
      <c r="B47" s="218" t="s">
        <v>125</v>
      </c>
      <c r="C47" s="219" t="s">
        <v>470</v>
      </c>
      <c r="D47" s="174" t="s">
        <v>382</v>
      </c>
      <c r="E47" s="174">
        <v>66432</v>
      </c>
      <c r="G47" s="225"/>
      <c r="H47" s="224"/>
      <c r="I47" s="161"/>
    </row>
    <row r="48" spans="1:9" s="206" customFormat="1" ht="31.5" customHeight="1" x14ac:dyDescent="0.25">
      <c r="A48" s="180">
        <v>46</v>
      </c>
      <c r="B48" s="218" t="s">
        <v>132</v>
      </c>
      <c r="C48" s="219" t="s">
        <v>471</v>
      </c>
      <c r="D48" s="174" t="s">
        <v>382</v>
      </c>
      <c r="E48" s="174">
        <v>148574</v>
      </c>
      <c r="G48" s="225"/>
      <c r="H48" s="224"/>
      <c r="I48" s="161"/>
    </row>
    <row r="49" spans="1:7" customFormat="1" ht="23" customHeight="1" x14ac:dyDescent="0.25">
      <c r="A49" s="209"/>
      <c r="B49" s="205" t="s">
        <v>481</v>
      </c>
      <c r="C49" s="205"/>
      <c r="D49" s="205"/>
      <c r="E49" s="223">
        <f>SUM(E3:E48)</f>
        <v>3509345</v>
      </c>
      <c r="G49" s="222"/>
    </row>
  </sheetData>
  <autoFilter ref="A2:I2"/>
  <mergeCells count="1">
    <mergeCell ref="A1:E1"/>
  </mergeCells>
  <phoneticPr fontId="16" type="noConversion"/>
  <pageMargins left="0.70866141732283505" right="0.70866141732283505" top="0.74803149606299202" bottom="0.74803149606299202" header="0.31496062992126" footer="0.31496062992126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7</vt:i4>
      </vt:variant>
    </vt:vector>
  </HeadingPairs>
  <TitlesOfParts>
    <vt:vector size="16" baseType="lpstr">
      <vt:lpstr>信用</vt:lpstr>
      <vt:lpstr>项目</vt:lpstr>
      <vt:lpstr>报告表格信用</vt:lpstr>
      <vt:lpstr>报告表格信用 (2)</vt:lpstr>
      <vt:lpstr>报告表格项目 </vt:lpstr>
      <vt:lpstr>报告表格项目 （2）</vt:lpstr>
      <vt:lpstr>最终版报告表格信用</vt:lpstr>
      <vt:lpstr>最终版报告表格项目</vt:lpstr>
      <vt:lpstr>最终版报告表格</vt:lpstr>
      <vt:lpstr>报告表格信用!Print_Area</vt:lpstr>
      <vt:lpstr>'报告表格信用 (2)'!Print_Area</vt:lpstr>
      <vt:lpstr>信用!Print_Area</vt:lpstr>
      <vt:lpstr>最终版报告表格!Print_Area</vt:lpstr>
      <vt:lpstr>最终版报告表格!Print_Titles</vt:lpstr>
      <vt:lpstr>最终版报告表格项目!Print_Titles</vt:lpstr>
      <vt:lpstr>最终版报告表格信用!Print_Titles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华欣办公</dc:creator>
  <cp:lastModifiedBy>admin</cp:lastModifiedBy>
  <cp:lastPrinted>2023-02-20T01:42:20Z</cp:lastPrinted>
  <dcterms:created xsi:type="dcterms:W3CDTF">2021-12-06T06:01:47Z</dcterms:created>
  <dcterms:modified xsi:type="dcterms:W3CDTF">2023-03-30T02:24:29Z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C24B2A073CC64BCBA370C5E4BE40FFA5</vt:lpwstr>
  </property>
  <property fmtid="{D5CDD505-2E9C-101B-9397-08002B2CF9AE}" pid="3" name="KSOProductBuildVer">
    <vt:lpwstr>2052-11.1.0.11045</vt:lpwstr>
  </property>
</Properties>
</file>